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Desktop\"/>
    </mc:Choice>
  </mc:AlternateContent>
  <xr:revisionPtr revIDLastSave="0" documentId="8_{F876225A-37F0-4277-9A53-5650A295CA16}" xr6:coauthVersionLast="47" xr6:coauthVersionMax="47" xr10:uidLastSave="{00000000-0000-0000-0000-000000000000}"/>
  <bookViews>
    <workbookView xWindow="-110" yWindow="-110" windowWidth="19420" windowHeight="10300" activeTab="5" xr2:uid="{64C5BA8E-C222-4E2A-BFFB-2086103B173A}"/>
  </bookViews>
  <sheets>
    <sheet name="SCENARIO 1" sheetId="2" r:id="rId1"/>
    <sheet name="SCENARIO 2" sheetId="1" r:id="rId2"/>
    <sheet name="SCENARIO 3" sheetId="3" r:id="rId3"/>
    <sheet name="SCENARIO 4" sheetId="4" r:id="rId4"/>
    <sheet name="Sheet1" sheetId="5" r:id="rId5"/>
    <sheet name="TER" sheetId="7" r:id="rId6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7" l="1"/>
  <c r="H5" i="7"/>
  <c r="B5" i="7"/>
  <c r="H4" i="4"/>
  <c r="H8" i="4"/>
  <c r="H12" i="4"/>
  <c r="H16" i="4"/>
  <c r="H20" i="4"/>
  <c r="H24" i="4"/>
  <c r="H4" i="1"/>
  <c r="H8" i="1"/>
  <c r="H12" i="1"/>
  <c r="H16" i="1"/>
  <c r="H20" i="1"/>
  <c r="H24" i="1"/>
  <c r="H24" i="2"/>
  <c r="H20" i="2"/>
  <c r="H16" i="2"/>
  <c r="H12" i="2"/>
  <c r="H8" i="2"/>
  <c r="H4" i="2"/>
  <c r="H24" i="3"/>
  <c r="H20" i="3"/>
  <c r="H16" i="3"/>
  <c r="H12" i="3"/>
  <c r="H8" i="3"/>
  <c r="H4" i="3"/>
  <c r="I19" i="4"/>
  <c r="I15" i="4"/>
  <c r="I11" i="4"/>
  <c r="I7" i="4"/>
  <c r="I3" i="4"/>
  <c r="I23" i="4"/>
  <c r="I3" i="3"/>
  <c r="I7" i="3"/>
  <c r="I11" i="3"/>
  <c r="I15" i="3"/>
  <c r="I19" i="3"/>
  <c r="I23" i="3"/>
  <c r="I23" i="1"/>
  <c r="I19" i="1"/>
  <c r="I15" i="1"/>
  <c r="I11" i="1"/>
  <c r="I7" i="1"/>
  <c r="I3" i="1"/>
  <c r="I23" i="2"/>
  <c r="I19" i="2"/>
  <c r="I15" i="2"/>
  <c r="I11" i="2"/>
  <c r="I7" i="2"/>
  <c r="I3" i="2"/>
  <c r="C3" i="2"/>
  <c r="F3" i="2"/>
  <c r="G3" i="2"/>
  <c r="H3" i="2"/>
  <c r="E3" i="2"/>
  <c r="J3" i="2"/>
  <c r="C4" i="2"/>
  <c r="F4" i="2"/>
  <c r="G4" i="2"/>
  <c r="J4" i="2"/>
  <c r="K3" i="2"/>
  <c r="M4" i="2"/>
  <c r="C7" i="2"/>
  <c r="F7" i="2"/>
  <c r="G7" i="2"/>
  <c r="H7" i="2"/>
  <c r="E7" i="2"/>
  <c r="J7" i="2"/>
  <c r="C8" i="2"/>
  <c r="F8" i="2"/>
  <c r="G8" i="2"/>
  <c r="J8" i="2"/>
  <c r="K7" i="2"/>
  <c r="N4" i="2"/>
  <c r="C11" i="2"/>
  <c r="F11" i="2"/>
  <c r="G11" i="2"/>
  <c r="H11" i="2"/>
  <c r="E11" i="2"/>
  <c r="J11" i="2"/>
  <c r="C12" i="2"/>
  <c r="F12" i="2"/>
  <c r="G12" i="2"/>
  <c r="J12" i="2"/>
  <c r="K11" i="2"/>
  <c r="O4" i="2"/>
  <c r="C15" i="2"/>
  <c r="F15" i="2"/>
  <c r="G15" i="2"/>
  <c r="H15" i="2"/>
  <c r="E15" i="2"/>
  <c r="J15" i="2"/>
  <c r="C16" i="2"/>
  <c r="F16" i="2"/>
  <c r="G16" i="2"/>
  <c r="J16" i="2"/>
  <c r="K15" i="2"/>
  <c r="P4" i="2"/>
  <c r="C19" i="2"/>
  <c r="F19" i="2"/>
  <c r="G19" i="2"/>
  <c r="H19" i="2"/>
  <c r="E19" i="2"/>
  <c r="J19" i="2"/>
  <c r="C20" i="2"/>
  <c r="F20" i="2"/>
  <c r="G20" i="2"/>
  <c r="J20" i="2"/>
  <c r="K19" i="2"/>
  <c r="Q4" i="2"/>
  <c r="C23" i="2"/>
  <c r="F23" i="2"/>
  <c r="G23" i="2"/>
  <c r="H23" i="2"/>
  <c r="E23" i="2"/>
  <c r="J23" i="2"/>
  <c r="C24" i="2"/>
  <c r="F24" i="2"/>
  <c r="G24" i="2"/>
  <c r="J24" i="2"/>
  <c r="K23" i="2"/>
  <c r="R4" i="2"/>
  <c r="S4" i="2"/>
  <c r="J3" i="1"/>
  <c r="J4" i="1"/>
  <c r="K3" i="1"/>
  <c r="M4" i="1"/>
  <c r="J7" i="1"/>
  <c r="J8" i="1"/>
  <c r="K7" i="1"/>
  <c r="N4" i="1"/>
  <c r="J11" i="1"/>
  <c r="J12" i="1"/>
  <c r="K11" i="1"/>
  <c r="O4" i="1"/>
  <c r="J15" i="1"/>
  <c r="J16" i="1"/>
  <c r="K15" i="1"/>
  <c r="P4" i="1"/>
  <c r="J19" i="1"/>
  <c r="J20" i="1"/>
  <c r="K19" i="1"/>
  <c r="Q4" i="1"/>
  <c r="J23" i="1"/>
  <c r="J24" i="1"/>
  <c r="K23" i="1"/>
  <c r="R4" i="1"/>
  <c r="S4" i="1"/>
  <c r="J23" i="3"/>
  <c r="J24" i="3"/>
  <c r="K23" i="3"/>
  <c r="R4" i="3"/>
  <c r="J19" i="3"/>
  <c r="J20" i="3"/>
  <c r="K19" i="3"/>
  <c r="Q4" i="3"/>
  <c r="J15" i="3"/>
  <c r="J16" i="3"/>
  <c r="K15" i="3"/>
  <c r="P4" i="3"/>
  <c r="J11" i="3"/>
  <c r="J12" i="3"/>
  <c r="K11" i="3"/>
  <c r="O4" i="3"/>
  <c r="J7" i="3"/>
  <c r="J8" i="3"/>
  <c r="K7" i="3"/>
  <c r="N4" i="3"/>
  <c r="J3" i="3"/>
  <c r="J4" i="3"/>
  <c r="K3" i="3"/>
  <c r="M4" i="3"/>
  <c r="S4" i="3"/>
  <c r="J23" i="4"/>
  <c r="J24" i="4"/>
  <c r="K23" i="4"/>
  <c r="R4" i="4"/>
  <c r="J3" i="4"/>
  <c r="J4" i="4"/>
  <c r="K3" i="4"/>
  <c r="M4" i="4"/>
  <c r="J7" i="4"/>
  <c r="J8" i="4"/>
  <c r="K7" i="4"/>
  <c r="N4" i="4"/>
  <c r="J11" i="4"/>
  <c r="J12" i="4"/>
  <c r="K11" i="4"/>
  <c r="O4" i="4"/>
  <c r="J15" i="4"/>
  <c r="J16" i="4"/>
  <c r="K15" i="4"/>
  <c r="P4" i="4"/>
  <c r="J19" i="4"/>
  <c r="J20" i="4"/>
  <c r="K19" i="4"/>
  <c r="Q4" i="4"/>
  <c r="S4" i="4"/>
  <c r="B3" i="4"/>
  <c r="C3" i="4"/>
  <c r="D3" i="4"/>
  <c r="F3" i="4"/>
  <c r="G3" i="4"/>
  <c r="H3" i="4"/>
  <c r="E3" i="4"/>
  <c r="C4" i="4"/>
  <c r="F4" i="4"/>
  <c r="G4" i="4"/>
  <c r="D7" i="4"/>
  <c r="D11" i="4"/>
  <c r="D15" i="4"/>
  <c r="D19" i="4"/>
  <c r="D23" i="4"/>
  <c r="B7" i="4"/>
  <c r="B11" i="4"/>
  <c r="B15" i="4"/>
  <c r="B19" i="4"/>
  <c r="B23" i="4"/>
  <c r="D3" i="3"/>
  <c r="D7" i="3"/>
  <c r="D11" i="3"/>
  <c r="D15" i="3"/>
  <c r="D19" i="3"/>
  <c r="D23" i="3"/>
  <c r="B3" i="3"/>
  <c r="B7" i="3"/>
  <c r="B11" i="3"/>
  <c r="B15" i="3"/>
  <c r="B19" i="3"/>
  <c r="B23" i="3"/>
  <c r="C24" i="4"/>
  <c r="F24" i="4"/>
  <c r="G24" i="4"/>
  <c r="E24" i="4"/>
  <c r="C23" i="4"/>
  <c r="F23" i="4"/>
  <c r="G23" i="4"/>
  <c r="H23" i="4"/>
  <c r="E23" i="4"/>
  <c r="C20" i="4"/>
  <c r="F20" i="4"/>
  <c r="G20" i="4"/>
  <c r="E20" i="4"/>
  <c r="C19" i="4"/>
  <c r="F19" i="4"/>
  <c r="G19" i="4"/>
  <c r="H19" i="4"/>
  <c r="E19" i="4"/>
  <c r="C16" i="4"/>
  <c r="F16" i="4"/>
  <c r="G16" i="4"/>
  <c r="E16" i="4"/>
  <c r="C15" i="4"/>
  <c r="F15" i="4"/>
  <c r="G15" i="4"/>
  <c r="H15" i="4"/>
  <c r="E15" i="4"/>
  <c r="C12" i="4"/>
  <c r="F12" i="4"/>
  <c r="G12" i="4"/>
  <c r="E12" i="4"/>
  <c r="C11" i="4"/>
  <c r="F11" i="4"/>
  <c r="G11" i="4"/>
  <c r="H11" i="4"/>
  <c r="E11" i="4"/>
  <c r="C8" i="4"/>
  <c r="F8" i="4"/>
  <c r="G8" i="4"/>
  <c r="E8" i="4"/>
  <c r="C7" i="4"/>
  <c r="F7" i="4"/>
  <c r="G7" i="4"/>
  <c r="H7" i="4"/>
  <c r="E7" i="4"/>
  <c r="E4" i="4"/>
  <c r="C24" i="3"/>
  <c r="F24" i="3"/>
  <c r="G24" i="3"/>
  <c r="E24" i="3"/>
  <c r="C23" i="3"/>
  <c r="F23" i="3"/>
  <c r="G23" i="3"/>
  <c r="H23" i="3"/>
  <c r="E23" i="3"/>
  <c r="C20" i="3"/>
  <c r="F20" i="3"/>
  <c r="G20" i="3"/>
  <c r="E20" i="3"/>
  <c r="C19" i="3"/>
  <c r="F19" i="3"/>
  <c r="G19" i="3"/>
  <c r="H19" i="3"/>
  <c r="E19" i="3"/>
  <c r="C16" i="3"/>
  <c r="F16" i="3"/>
  <c r="G16" i="3"/>
  <c r="E16" i="3"/>
  <c r="C15" i="3"/>
  <c r="F15" i="3"/>
  <c r="G15" i="3"/>
  <c r="H15" i="3"/>
  <c r="E15" i="3"/>
  <c r="C12" i="3"/>
  <c r="F12" i="3"/>
  <c r="G12" i="3"/>
  <c r="E12" i="3"/>
  <c r="C11" i="3"/>
  <c r="F11" i="3"/>
  <c r="G11" i="3"/>
  <c r="H11" i="3"/>
  <c r="E11" i="3"/>
  <c r="C8" i="3"/>
  <c r="F8" i="3"/>
  <c r="G8" i="3"/>
  <c r="E8" i="3"/>
  <c r="C7" i="3"/>
  <c r="F7" i="3"/>
  <c r="G7" i="3"/>
  <c r="H7" i="3"/>
  <c r="E7" i="3"/>
  <c r="C3" i="3"/>
  <c r="F3" i="3"/>
  <c r="G3" i="3"/>
  <c r="H3" i="3"/>
  <c r="E3" i="3"/>
  <c r="C4" i="3"/>
  <c r="F4" i="3"/>
  <c r="G4" i="3"/>
  <c r="E4" i="3"/>
  <c r="E24" i="2"/>
  <c r="E20" i="2"/>
  <c r="E16" i="2"/>
  <c r="E12" i="2"/>
  <c r="E8" i="2"/>
  <c r="E4" i="2"/>
  <c r="B3" i="1"/>
  <c r="B7" i="1"/>
  <c r="B11" i="1"/>
  <c r="B15" i="1"/>
  <c r="B19" i="1"/>
  <c r="B23" i="1"/>
  <c r="C23" i="1"/>
  <c r="D3" i="1"/>
  <c r="D7" i="1"/>
  <c r="D11" i="1"/>
  <c r="D15" i="1"/>
  <c r="D19" i="1"/>
  <c r="D23" i="1"/>
  <c r="F23" i="1"/>
  <c r="G23" i="1"/>
  <c r="H23" i="1"/>
  <c r="E23" i="1"/>
  <c r="C24" i="1"/>
  <c r="F24" i="1"/>
  <c r="G24" i="1"/>
  <c r="C19" i="1"/>
  <c r="F19" i="1"/>
  <c r="G19" i="1"/>
  <c r="H19" i="1"/>
  <c r="E19" i="1"/>
  <c r="C20" i="1"/>
  <c r="F20" i="1"/>
  <c r="G20" i="1"/>
  <c r="C15" i="1"/>
  <c r="F15" i="1"/>
  <c r="G15" i="1"/>
  <c r="H15" i="1"/>
  <c r="E15" i="1"/>
  <c r="C16" i="1"/>
  <c r="F16" i="1"/>
  <c r="G16" i="1"/>
  <c r="C11" i="1"/>
  <c r="F11" i="1"/>
  <c r="G11" i="1"/>
  <c r="H11" i="1"/>
  <c r="E11" i="1"/>
  <c r="C12" i="1"/>
  <c r="F12" i="1"/>
  <c r="G12" i="1"/>
  <c r="C7" i="1"/>
  <c r="F7" i="1"/>
  <c r="G7" i="1"/>
  <c r="H7" i="1"/>
  <c r="E7" i="1"/>
  <c r="C8" i="1"/>
  <c r="F8" i="1"/>
  <c r="G8" i="1"/>
  <c r="C3" i="1"/>
  <c r="F3" i="1"/>
  <c r="G3" i="1"/>
  <c r="H3" i="1"/>
  <c r="E3" i="1"/>
  <c r="C4" i="1"/>
  <c r="F4" i="1"/>
  <c r="G4" i="1"/>
  <c r="E24" i="1"/>
  <c r="E20" i="1"/>
  <c r="E16" i="1"/>
  <c r="E12" i="1"/>
  <c r="E8" i="1"/>
  <c r="E4" i="1"/>
  <c r="H8" i="5"/>
  <c r="B8" i="5"/>
  <c r="C8" i="5"/>
  <c r="D8" i="5"/>
  <c r="E8" i="5"/>
  <c r="F8" i="5"/>
  <c r="G8" i="5"/>
</calcChain>
</file>

<file path=xl/sharedStrings.xml><?xml version="1.0" encoding="utf-8"?>
<sst xmlns="http://schemas.openxmlformats.org/spreadsheetml/2006/main" count="397" uniqueCount="52">
  <si>
    <t>YEAR 1 (2023)</t>
  </si>
  <si>
    <t>REVENUES</t>
  </si>
  <si>
    <t># OF ORDER</t>
  </si>
  <si>
    <t xml:space="preserve">TOTAL SHIPPING COST </t>
  </si>
  <si>
    <t>CF (1)</t>
  </si>
  <si>
    <t>NPV (1)</t>
  </si>
  <si>
    <t>NPV (2)</t>
  </si>
  <si>
    <t>NPV (3)</t>
  </si>
  <si>
    <t>NPV (4)</t>
  </si>
  <si>
    <t>NPV (5)</t>
  </si>
  <si>
    <t>NPV (6)</t>
  </si>
  <si>
    <t>SCENARIO 2</t>
  </si>
  <si>
    <t>CF (1) / (1+5.25%)^1</t>
  </si>
  <si>
    <t>CF (2) / (1+5.25%)^2</t>
  </si>
  <si>
    <t>CF (3) / (1+5.25%)^3</t>
  </si>
  <si>
    <t>CF (4) / (1+5.25%)^4</t>
  </si>
  <si>
    <t>CF (5) / (1+5.25%)^5</t>
  </si>
  <si>
    <t>CF (6) / (1+5.25%)^6</t>
  </si>
  <si>
    <t>BASE LINE</t>
  </si>
  <si>
    <t>YEAR 2 (2024)</t>
  </si>
  <si>
    <t>CF (2)</t>
  </si>
  <si>
    <t>YEAR 3 (2025)</t>
  </si>
  <si>
    <t>CF (3)</t>
  </si>
  <si>
    <t>YEAR 4 (2026)</t>
  </si>
  <si>
    <t xml:space="preserve">CF (4) </t>
  </si>
  <si>
    <t>YEAR 5 (2027)</t>
  </si>
  <si>
    <t>CF (5)</t>
  </si>
  <si>
    <t>YEAR 6 (2028)</t>
  </si>
  <si>
    <t>CF (6)</t>
  </si>
  <si>
    <t xml:space="preserve">TRUCK NEEDED </t>
  </si>
  <si>
    <t>GROSS PROFIT</t>
  </si>
  <si>
    <t>RETURNED ITEMS COST</t>
  </si>
  <si>
    <t>NET PROFIT</t>
  </si>
  <si>
    <t>DIFFERENTIAL CRATE COST</t>
  </si>
  <si>
    <t># OF CRATES</t>
  </si>
  <si>
    <t>SCENARIO 1</t>
  </si>
  <si>
    <t>NPV - TOTAL</t>
  </si>
  <si>
    <t>SCENARIO 3</t>
  </si>
  <si>
    <t>SCENARIO 4</t>
  </si>
  <si>
    <t>∑ NPV (t) - Investment</t>
  </si>
  <si>
    <t>cf</t>
  </si>
  <si>
    <t>Year</t>
  </si>
  <si>
    <t>CF</t>
  </si>
  <si>
    <t>TER</t>
  </si>
  <si>
    <t>l</t>
  </si>
  <si>
    <t>h</t>
  </si>
  <si>
    <t>w</t>
  </si>
  <si>
    <t>CRATE</t>
  </si>
  <si>
    <t>V 3 crates</t>
  </si>
  <si>
    <t>inch^3</t>
  </si>
  <si>
    <t>Truck</t>
  </si>
  <si>
    <t>V Truck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</si>
</sst>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left" vertical="center" indent="4"/>
    </xf>
    <xf numFmtId="165" fontId="0" fillId="0" borderId="0" xfId="0" applyNumberFormat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/>
    <xf numFmtId="0" fontId="2" fillId="4" borderId="0" xfId="0" applyFont="1" applyFill="1" applyAlignment="1">
      <alignment horizontal="left" vertical="center" indent="4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Expected actualized CFs</a:t>
            </a:r>
          </a:p>
        </c:rich>
      </c:tx>
      <c:layout>
        <c:manualLayout>
          <c:xMode val="edge"/>
          <c:yMode val="edge"/>
          <c:x val="0.34054855643044618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Sheet1!$A$10</c:f>
              <c:strCache>
                <c:ptCount val="1"/>
                <c:pt idx="0">
                  <c:v>CF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Sheet1!$B$9:$G$9</c:f>
              <c:numCache>
                <c:formatCode>General</c:formatCode>
                <c:ptCount val="6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</c:numCache>
            </c:numRef>
          </c:cat>
          <c:val>
            <c:numRef>
              <c:f>Sheet1!$B$10:$G$10</c:f>
              <c:numCache>
                <c:formatCode>[$$-409]#,##0</c:formatCode>
                <c:ptCount val="6"/>
                <c:pt idx="0">
                  <c:v>720578.76366270788</c:v>
                </c:pt>
                <c:pt idx="1">
                  <c:v>822604.31940849323</c:v>
                </c:pt>
                <c:pt idx="2">
                  <c:v>874580.58258567483</c:v>
                </c:pt>
                <c:pt idx="3">
                  <c:v>906365.97274575068</c:v>
                </c:pt>
                <c:pt idx="4">
                  <c:v>946351.46333651128</c:v>
                </c:pt>
                <c:pt idx="5">
                  <c:v>970135.54705367959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87-4036-816D-283E065D6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4425007"/>
        <c:axId val="1024424047"/>
      </c:barChart>
      <c:catAx>
        <c:axId val="10244250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4424047"/>
        <c:crosses val="autoZero"/>
        <c:auto val="1"/>
        <c:lblAlgn val="ctr"/>
        <c:lblOffset val="100"/>
        <c:noMultiLvlLbl val="0"/>
      </c:catAx>
      <c:valAx>
        <c:axId val="1024424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$-409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4425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1133475</xdr:colOff>
      <xdr:row>11</xdr:row>
      <xdr:rowOff>88900</xdr:rowOff>
    </xdr:from>
    <xdr:to>
      <xdr:col>6</xdr:col>
      <xdr:colOff>752475</xdr:colOff>
      <xdr:row>26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FABFCF-F075-EF94-C3E1-92E49B6D9B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99CC-9C87-49AE-A3E0-6849F2BAB9C4}">
  <dimension ref="A1:T29"/>
  <sheetViews>
    <sheetView zoomScale="82" workbookViewId="0">
      <selection activeCell="H11" sqref="H11"/>
    </sheetView>
  </sheetViews>
  <sheetFormatPr defaultRowHeight="14.5" x14ac:dyDescent="0.35"/>
  <cols>
    <col min="1" max="1" width="17.7265625" style="3" bestFit="1" customWidth="1"/>
    <col min="2" max="2" width="12.90625" style="3" bestFit="1" customWidth="1"/>
    <col min="3" max="3" width="12.90625" style="3" customWidth="1"/>
    <col min="4" max="5" width="11.453125" style="3" customWidth="1"/>
    <col min="6" max="6" width="14.08984375" style="3" bestFit="1" customWidth="1"/>
    <col min="7" max="7" width="20" style="3" bestFit="1" customWidth="1"/>
    <col min="8" max="8" width="20" style="3" customWidth="1"/>
    <col min="9" max="9" width="23.26953125" style="3" bestFit="1" customWidth="1"/>
    <col min="10" max="10" width="20" style="3" customWidth="1"/>
    <col min="11" max="11" width="13.90625" style="3" bestFit="1" customWidth="1"/>
    <col min="12" max="12" width="21.26953125" style="12" bestFit="1" customWidth="1"/>
    <col min="13" max="18" width="17.7265625" style="3" bestFit="1" customWidth="1"/>
    <col min="19" max="19" width="21.26953125" style="3" bestFit="1" customWidth="1"/>
    <col min="20" max="20" width="8.7265625" style="13"/>
  </cols>
  <sheetData>
    <row r="1" spans="1:19" s="13" customFormat="1" x14ac:dyDescent="0.3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x14ac:dyDescent="0.35">
      <c r="A2" s="1" t="s">
        <v>0</v>
      </c>
      <c r="B2" s="2" t="s">
        <v>1</v>
      </c>
      <c r="C2" s="2" t="s">
        <v>30</v>
      </c>
      <c r="D2" s="2" t="s">
        <v>2</v>
      </c>
      <c r="E2" s="2" t="s">
        <v>34</v>
      </c>
      <c r="F2" s="2" t="s">
        <v>29</v>
      </c>
      <c r="G2" s="2" t="s">
        <v>3</v>
      </c>
      <c r="H2" s="2" t="s">
        <v>31</v>
      </c>
      <c r="I2" s="2" t="s">
        <v>33</v>
      </c>
      <c r="J2" s="2" t="s">
        <v>32</v>
      </c>
      <c r="K2" s="2" t="s">
        <v>4</v>
      </c>
      <c r="M2" s="1" t="s">
        <v>5</v>
      </c>
      <c r="N2" s="1" t="s">
        <v>6</v>
      </c>
      <c r="O2" s="1" t="s">
        <v>7</v>
      </c>
      <c r="P2" s="1" t="s">
        <v>8</v>
      </c>
      <c r="Q2" s="1" t="s">
        <v>9</v>
      </c>
      <c r="R2" s="1" t="s">
        <v>10</v>
      </c>
      <c r="S2" s="1" t="s">
        <v>36</v>
      </c>
    </row>
    <row r="3" spans="1:19" x14ac:dyDescent="0.35">
      <c r="A3" s="2" t="s">
        <v>35</v>
      </c>
      <c r="B3" s="4">
        <v>10451673</v>
      </c>
      <c r="C3" s="4">
        <f>0.35*B3</f>
        <v>3658085.55</v>
      </c>
      <c r="D3" s="7">
        <v>261</v>
      </c>
      <c r="E3" s="5">
        <f>D3*4</f>
        <v>1044</v>
      </c>
      <c r="F3" s="5">
        <f>D3</f>
        <v>261</v>
      </c>
      <c r="G3" s="4">
        <f>F3*2023</f>
        <v>528003</v>
      </c>
      <c r="H3" s="4">
        <f>0.003*D3*20000</f>
        <v>15660</v>
      </c>
      <c r="I3" s="4">
        <f>9*E3</f>
        <v>9396</v>
      </c>
      <c r="J3" s="4">
        <f>C3-G3-H3-I3</f>
        <v>3105026.55</v>
      </c>
      <c r="K3" s="16">
        <f>J3-J4</f>
        <v>565587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6" t="s">
        <v>39</v>
      </c>
    </row>
    <row r="4" spans="1:19" x14ac:dyDescent="0.35">
      <c r="A4" s="2" t="s">
        <v>18</v>
      </c>
      <c r="B4" s="4">
        <v>10451673</v>
      </c>
      <c r="C4" s="4">
        <f>0.35*B4</f>
        <v>3658085.55</v>
      </c>
      <c r="D4" s="7">
        <v>261</v>
      </c>
      <c r="E4" s="5">
        <f>D4*4</f>
        <v>1044</v>
      </c>
      <c r="F4" s="7">
        <f>D4*2</f>
        <v>522</v>
      </c>
      <c r="G4" s="4">
        <f>F4*2023</f>
        <v>1056006</v>
      </c>
      <c r="H4" s="4">
        <f>0.012*D4*20000</f>
        <v>62640</v>
      </c>
      <c r="I4" s="4">
        <v>0</v>
      </c>
      <c r="J4" s="4">
        <f>C4-G4-H4-I4</f>
        <v>2539439.5499999998</v>
      </c>
      <c r="K4" s="16"/>
      <c r="M4" s="4">
        <f>$K$3/(1.0525)^M8</f>
        <v>537374.82185273163</v>
      </c>
      <c r="N4" s="4">
        <f>K7/(1.0525)^N8</f>
        <v>510569.90199784475</v>
      </c>
      <c r="O4" s="4">
        <f>K11/(1.0525)^O8</f>
        <v>485102.04465353425</v>
      </c>
      <c r="P4" s="4">
        <f>K15/(1.0525)^P8</f>
        <v>460904.55549029377</v>
      </c>
      <c r="Q4" s="4">
        <f>K19/(1.0525)^Q8</f>
        <v>437914.06697415089</v>
      </c>
      <c r="R4" s="4">
        <f>K23/(1.0525)^R8</f>
        <v>416070.37242199609</v>
      </c>
      <c r="S4" s="4">
        <f>SUM(M4:R4)-20000</f>
        <v>2827935.7633905513</v>
      </c>
    </row>
    <row r="5" spans="1:19" s="13" customFormat="1" x14ac:dyDescent="0.35">
      <c r="A5" s="12"/>
      <c r="B5" s="11"/>
      <c r="C5" s="1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x14ac:dyDescent="0.35">
      <c r="A6" s="1" t="s">
        <v>19</v>
      </c>
      <c r="B6" s="2" t="s">
        <v>1</v>
      </c>
      <c r="C6" s="2" t="s">
        <v>30</v>
      </c>
      <c r="D6" s="2" t="s">
        <v>2</v>
      </c>
      <c r="E6" s="2" t="s">
        <v>34</v>
      </c>
      <c r="F6" s="2" t="s">
        <v>29</v>
      </c>
      <c r="G6" s="2" t="s">
        <v>3</v>
      </c>
      <c r="H6" s="2" t="s">
        <v>31</v>
      </c>
      <c r="I6" s="2" t="s">
        <v>33</v>
      </c>
      <c r="J6" s="2" t="s">
        <v>32</v>
      </c>
      <c r="K6" s="2" t="s">
        <v>20</v>
      </c>
    </row>
    <row r="7" spans="1:19" x14ac:dyDescent="0.35">
      <c r="A7" s="2" t="s">
        <v>35</v>
      </c>
      <c r="B7" s="4">
        <v>10451673</v>
      </c>
      <c r="C7" s="4">
        <f>0.35*B7</f>
        <v>3658085.55</v>
      </c>
      <c r="D7" s="7">
        <v>261</v>
      </c>
      <c r="E7" s="5">
        <f>D7*4</f>
        <v>1044</v>
      </c>
      <c r="F7" s="5">
        <f>D7</f>
        <v>261</v>
      </c>
      <c r="G7" s="4">
        <f>F7*2023</f>
        <v>528003</v>
      </c>
      <c r="H7" s="4">
        <f>0.003*D7*20000</f>
        <v>15660</v>
      </c>
      <c r="I7" s="4">
        <f>9*E7</f>
        <v>9396</v>
      </c>
      <c r="J7" s="4">
        <f>C7-G7-H7-I7</f>
        <v>3105026.55</v>
      </c>
      <c r="K7" s="16">
        <f>J7-J8</f>
        <v>565587</v>
      </c>
    </row>
    <row r="8" spans="1:19" x14ac:dyDescent="0.35">
      <c r="A8" s="2" t="s">
        <v>18</v>
      </c>
      <c r="B8" s="4">
        <v>10451673</v>
      </c>
      <c r="C8" s="4">
        <f>0.35*B8</f>
        <v>3658085.55</v>
      </c>
      <c r="D8" s="7">
        <v>261</v>
      </c>
      <c r="E8" s="5">
        <f>D8*4</f>
        <v>1044</v>
      </c>
      <c r="F8" s="7">
        <f>D8*2</f>
        <v>522</v>
      </c>
      <c r="G8" s="4">
        <f>F8*2023</f>
        <v>1056006</v>
      </c>
      <c r="H8" s="4">
        <f>0.012*D8*20000</f>
        <v>62640</v>
      </c>
      <c r="I8" s="4">
        <v>0</v>
      </c>
      <c r="J8" s="4">
        <f>C8-G8-H8-I8</f>
        <v>2539439.5499999998</v>
      </c>
      <c r="K8" s="16"/>
      <c r="M8" s="3">
        <v>1</v>
      </c>
      <c r="N8" s="3">
        <v>2</v>
      </c>
      <c r="O8" s="3">
        <v>3</v>
      </c>
      <c r="P8" s="3">
        <v>4</v>
      </c>
      <c r="Q8" s="3">
        <v>5</v>
      </c>
      <c r="R8" s="3">
        <v>6</v>
      </c>
    </row>
    <row r="9" spans="1:19" s="13" customFormat="1" x14ac:dyDescent="0.3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 x14ac:dyDescent="0.35">
      <c r="A10" s="1" t="s">
        <v>21</v>
      </c>
      <c r="B10" s="2" t="s">
        <v>1</v>
      </c>
      <c r="C10" s="2" t="s">
        <v>30</v>
      </c>
      <c r="D10" s="2" t="s">
        <v>2</v>
      </c>
      <c r="E10" s="2" t="s">
        <v>34</v>
      </c>
      <c r="F10" s="2" t="s">
        <v>29</v>
      </c>
      <c r="G10" s="2" t="s">
        <v>3</v>
      </c>
      <c r="H10" s="2" t="s">
        <v>31</v>
      </c>
      <c r="I10" s="2" t="s">
        <v>33</v>
      </c>
      <c r="J10" s="2" t="s">
        <v>32</v>
      </c>
      <c r="K10" s="2" t="s">
        <v>22</v>
      </c>
    </row>
    <row r="11" spans="1:19" x14ac:dyDescent="0.35">
      <c r="A11" s="2" t="s">
        <v>35</v>
      </c>
      <c r="B11" s="4">
        <v>10451673</v>
      </c>
      <c r="C11" s="4">
        <f>0.35*B11</f>
        <v>3658085.55</v>
      </c>
      <c r="D11" s="7">
        <v>261</v>
      </c>
      <c r="E11" s="5">
        <f>D11*4</f>
        <v>1044</v>
      </c>
      <c r="F11" s="5">
        <f>D11</f>
        <v>261</v>
      </c>
      <c r="G11" s="4">
        <f>F11*2023</f>
        <v>528003</v>
      </c>
      <c r="H11" s="4">
        <f>0.003*D11*20000</f>
        <v>15660</v>
      </c>
      <c r="I11" s="4">
        <f>9*E11</f>
        <v>9396</v>
      </c>
      <c r="J11" s="4">
        <f>C11-G11-H11-I11</f>
        <v>3105026.55</v>
      </c>
      <c r="K11" s="16">
        <f>J11-J12</f>
        <v>565587</v>
      </c>
      <c r="M11" s="8"/>
    </row>
    <row r="12" spans="1:19" x14ac:dyDescent="0.35">
      <c r="A12" s="2" t="s">
        <v>18</v>
      </c>
      <c r="B12" s="4">
        <v>10451673</v>
      </c>
      <c r="C12" s="4">
        <f>0.35*B12</f>
        <v>3658085.55</v>
      </c>
      <c r="D12" s="7">
        <v>261</v>
      </c>
      <c r="E12" s="5">
        <f>D12*4</f>
        <v>1044</v>
      </c>
      <c r="F12" s="7">
        <f>D12*2</f>
        <v>522</v>
      </c>
      <c r="G12" s="4">
        <f>F12*2023</f>
        <v>1056006</v>
      </c>
      <c r="H12" s="4">
        <f>0.012*D12*20000</f>
        <v>62640</v>
      </c>
      <c r="I12" s="4">
        <v>0</v>
      </c>
      <c r="J12" s="4">
        <f>C12-G12-H12-I12</f>
        <v>2539439.5499999998</v>
      </c>
      <c r="K12" s="16"/>
    </row>
    <row r="13" spans="1:19" s="13" customFormat="1" x14ac:dyDescent="0.3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x14ac:dyDescent="0.35">
      <c r="A14" s="1" t="s">
        <v>23</v>
      </c>
      <c r="B14" s="2" t="s">
        <v>1</v>
      </c>
      <c r="C14" s="2" t="s">
        <v>30</v>
      </c>
      <c r="D14" s="2" t="s">
        <v>2</v>
      </c>
      <c r="E14" s="2" t="s">
        <v>34</v>
      </c>
      <c r="F14" s="2" t="s">
        <v>29</v>
      </c>
      <c r="G14" s="2" t="s">
        <v>3</v>
      </c>
      <c r="H14" s="2" t="s">
        <v>31</v>
      </c>
      <c r="I14" s="2" t="s">
        <v>33</v>
      </c>
      <c r="J14" s="2" t="s">
        <v>32</v>
      </c>
      <c r="K14" s="2" t="s">
        <v>24</v>
      </c>
    </row>
    <row r="15" spans="1:19" x14ac:dyDescent="0.35">
      <c r="A15" s="2" t="s">
        <v>35</v>
      </c>
      <c r="B15" s="4">
        <v>10451673</v>
      </c>
      <c r="C15" s="4">
        <f>0.35*B15</f>
        <v>3658085.55</v>
      </c>
      <c r="D15" s="7">
        <v>261</v>
      </c>
      <c r="E15" s="5">
        <f>D15*4</f>
        <v>1044</v>
      </c>
      <c r="F15" s="5">
        <f>D15</f>
        <v>261</v>
      </c>
      <c r="G15" s="4">
        <f>F15*2023</f>
        <v>528003</v>
      </c>
      <c r="H15" s="4">
        <f>0.003*D15*20000</f>
        <v>15660</v>
      </c>
      <c r="I15" s="4">
        <f>9*E15</f>
        <v>9396</v>
      </c>
      <c r="J15" s="4">
        <f>C15-G15-H15-I15</f>
        <v>3105026.55</v>
      </c>
      <c r="K15" s="16">
        <f>J15-J16</f>
        <v>565587</v>
      </c>
    </row>
    <row r="16" spans="1:19" x14ac:dyDescent="0.35">
      <c r="A16" s="2" t="s">
        <v>18</v>
      </c>
      <c r="B16" s="4">
        <v>10451673</v>
      </c>
      <c r="C16" s="4">
        <f>0.35*B16</f>
        <v>3658085.55</v>
      </c>
      <c r="D16" s="7">
        <v>261</v>
      </c>
      <c r="E16" s="5">
        <f>D16*4</f>
        <v>1044</v>
      </c>
      <c r="F16" s="7">
        <f>D16*2</f>
        <v>522</v>
      </c>
      <c r="G16" s="4">
        <f>F16*2023</f>
        <v>1056006</v>
      </c>
      <c r="H16" s="4">
        <f>0.012*D16*20000</f>
        <v>62640</v>
      </c>
      <c r="I16" s="4">
        <v>0</v>
      </c>
      <c r="J16" s="4">
        <f>C16-G16-H16-I16</f>
        <v>2539439.5499999998</v>
      </c>
      <c r="K16" s="16"/>
      <c r="M16" s="10"/>
    </row>
    <row r="17" spans="1:19" s="13" customFormat="1" x14ac:dyDescent="0.3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x14ac:dyDescent="0.35">
      <c r="A18" s="1" t="s">
        <v>25</v>
      </c>
      <c r="B18" s="2" t="s">
        <v>1</v>
      </c>
      <c r="C18" s="2" t="s">
        <v>30</v>
      </c>
      <c r="D18" s="2" t="s">
        <v>2</v>
      </c>
      <c r="E18" s="2" t="s">
        <v>34</v>
      </c>
      <c r="F18" s="2" t="s">
        <v>29</v>
      </c>
      <c r="G18" s="2" t="s">
        <v>3</v>
      </c>
      <c r="H18" s="2" t="s">
        <v>31</v>
      </c>
      <c r="I18" s="2" t="s">
        <v>33</v>
      </c>
      <c r="J18" s="2" t="s">
        <v>32</v>
      </c>
      <c r="K18" s="2" t="s">
        <v>26</v>
      </c>
    </row>
    <row r="19" spans="1:19" x14ac:dyDescent="0.35">
      <c r="A19" s="2" t="s">
        <v>35</v>
      </c>
      <c r="B19" s="4">
        <v>10451673</v>
      </c>
      <c r="C19" s="4">
        <f>0.35*B19</f>
        <v>3658085.55</v>
      </c>
      <c r="D19" s="7">
        <v>261</v>
      </c>
      <c r="E19" s="5">
        <f>D19*4</f>
        <v>1044</v>
      </c>
      <c r="F19" s="5">
        <f>D19</f>
        <v>261</v>
      </c>
      <c r="G19" s="4">
        <f>F19*2023</f>
        <v>528003</v>
      </c>
      <c r="H19" s="4">
        <f>0.003*D19*20000</f>
        <v>15660</v>
      </c>
      <c r="I19" s="4">
        <f>9*E19</f>
        <v>9396</v>
      </c>
      <c r="J19" s="4">
        <f>C19-G19-H19-I19</f>
        <v>3105026.55</v>
      </c>
      <c r="K19" s="16">
        <f>J19-J20</f>
        <v>565587</v>
      </c>
    </row>
    <row r="20" spans="1:19" x14ac:dyDescent="0.35">
      <c r="A20" s="2" t="s">
        <v>18</v>
      </c>
      <c r="B20" s="4">
        <v>10451673</v>
      </c>
      <c r="C20" s="4">
        <f>0.35*B20</f>
        <v>3658085.55</v>
      </c>
      <c r="D20" s="7">
        <v>261</v>
      </c>
      <c r="E20" s="5">
        <f>D20*4</f>
        <v>1044</v>
      </c>
      <c r="F20" s="7">
        <f>D20*2</f>
        <v>522</v>
      </c>
      <c r="G20" s="4">
        <f>F20*2023</f>
        <v>1056006</v>
      </c>
      <c r="H20" s="4">
        <f>0.012*D20*20000</f>
        <v>62640</v>
      </c>
      <c r="I20" s="4">
        <v>0</v>
      </c>
      <c r="J20" s="4">
        <f>C20-G20-H20-I20</f>
        <v>2539439.5499999998</v>
      </c>
      <c r="K20" s="16"/>
    </row>
    <row r="21" spans="1:19" s="13" customFormat="1" x14ac:dyDescent="0.3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</row>
    <row r="22" spans="1:19" x14ac:dyDescent="0.35">
      <c r="A22" s="1" t="s">
        <v>27</v>
      </c>
      <c r="B22" s="2" t="s">
        <v>1</v>
      </c>
      <c r="C22" s="2" t="s">
        <v>30</v>
      </c>
      <c r="D22" s="2" t="s">
        <v>2</v>
      </c>
      <c r="E22" s="2" t="s">
        <v>34</v>
      </c>
      <c r="F22" s="2" t="s">
        <v>29</v>
      </c>
      <c r="G22" s="2" t="s">
        <v>3</v>
      </c>
      <c r="H22" s="2" t="s">
        <v>31</v>
      </c>
      <c r="I22" s="2" t="s">
        <v>33</v>
      </c>
      <c r="J22" s="2" t="s">
        <v>32</v>
      </c>
      <c r="K22" s="2" t="s">
        <v>28</v>
      </c>
    </row>
    <row r="23" spans="1:19" x14ac:dyDescent="0.35">
      <c r="A23" s="2" t="s">
        <v>35</v>
      </c>
      <c r="B23" s="4">
        <v>10451673</v>
      </c>
      <c r="C23" s="4">
        <f>0.35*B23</f>
        <v>3658085.55</v>
      </c>
      <c r="D23" s="7">
        <v>261</v>
      </c>
      <c r="E23" s="5">
        <f>D23*4</f>
        <v>1044</v>
      </c>
      <c r="F23" s="5">
        <f>D23</f>
        <v>261</v>
      </c>
      <c r="G23" s="4">
        <f>F23*2023</f>
        <v>528003</v>
      </c>
      <c r="H23" s="4">
        <f>0.003*D23*20000</f>
        <v>15660</v>
      </c>
      <c r="I23" s="4">
        <f>9*E23</f>
        <v>9396</v>
      </c>
      <c r="J23" s="4">
        <f>C23-G23-H23-I23</f>
        <v>3105026.55</v>
      </c>
      <c r="K23" s="16">
        <f>J23-J24</f>
        <v>565587</v>
      </c>
    </row>
    <row r="24" spans="1:19" x14ac:dyDescent="0.35">
      <c r="A24" s="2" t="s">
        <v>18</v>
      </c>
      <c r="B24" s="4">
        <v>10451673</v>
      </c>
      <c r="C24" s="4">
        <f>0.35*B24</f>
        <v>3658085.55</v>
      </c>
      <c r="D24" s="7">
        <v>261</v>
      </c>
      <c r="E24" s="5">
        <f>D24*4</f>
        <v>1044</v>
      </c>
      <c r="F24" s="7">
        <f>D24*2</f>
        <v>522</v>
      </c>
      <c r="G24" s="4">
        <f>F24*2023</f>
        <v>1056006</v>
      </c>
      <c r="H24" s="4">
        <f>0.012*D24*20000</f>
        <v>62640</v>
      </c>
      <c r="I24" s="4">
        <v>0</v>
      </c>
      <c r="J24" s="4">
        <f>C24-G24-H24-I24</f>
        <v>2539439.5499999998</v>
      </c>
      <c r="K24" s="16"/>
    </row>
    <row r="25" spans="1:19" s="13" customFormat="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9" spans="1:19" x14ac:dyDescent="0.35">
      <c r="L29" s="14"/>
    </row>
  </sheetData>
  <mergeCells count="6">
    <mergeCell ref="K23:K24"/>
    <mergeCell ref="K3:K4"/>
    <mergeCell ref="K7:K8"/>
    <mergeCell ref="K11:K12"/>
    <mergeCell ref="K15:K16"/>
    <mergeCell ref="K19:K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8ABF3-05A7-4BD4-AE7C-E1897796DC1E}">
  <dimension ref="A1:T29"/>
  <sheetViews>
    <sheetView topLeftCell="G1" zoomScale="78" workbookViewId="0">
      <selection activeCell="H3" sqref="H3"/>
    </sheetView>
  </sheetViews>
  <sheetFormatPr defaultRowHeight="14.5" x14ac:dyDescent="0.35"/>
  <cols>
    <col min="1" max="1" width="17.7265625" style="3" bestFit="1" customWidth="1"/>
    <col min="2" max="2" width="12.90625" style="3" bestFit="1" customWidth="1"/>
    <col min="3" max="3" width="12.90625" style="3" customWidth="1"/>
    <col min="4" max="5" width="11.453125" style="3" customWidth="1"/>
    <col min="6" max="6" width="14.08984375" style="3" bestFit="1" customWidth="1"/>
    <col min="7" max="7" width="20" style="3" bestFit="1" customWidth="1"/>
    <col min="8" max="8" width="20" style="3" customWidth="1"/>
    <col min="9" max="9" width="23.26953125" style="3" bestFit="1" customWidth="1"/>
    <col min="10" max="10" width="20" style="3" customWidth="1"/>
    <col min="11" max="11" width="13.90625" style="3" bestFit="1" customWidth="1"/>
    <col min="12" max="12" width="21.26953125" style="12" bestFit="1" customWidth="1"/>
    <col min="13" max="18" width="17.7265625" style="3" bestFit="1" customWidth="1"/>
    <col min="19" max="19" width="21.26953125" style="3" bestFit="1" customWidth="1"/>
    <col min="20" max="20" width="8.7265625" style="13"/>
  </cols>
  <sheetData>
    <row r="1" spans="1:19" s="13" customFormat="1" x14ac:dyDescent="0.3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x14ac:dyDescent="0.35">
      <c r="A2" s="1" t="s">
        <v>0</v>
      </c>
      <c r="B2" s="2" t="s">
        <v>1</v>
      </c>
      <c r="C2" s="2" t="s">
        <v>30</v>
      </c>
      <c r="D2" s="2" t="s">
        <v>2</v>
      </c>
      <c r="E2" s="2" t="s">
        <v>34</v>
      </c>
      <c r="F2" s="2" t="s">
        <v>29</v>
      </c>
      <c r="G2" s="2" t="s">
        <v>3</v>
      </c>
      <c r="H2" s="2" t="s">
        <v>31</v>
      </c>
      <c r="I2" s="2" t="s">
        <v>33</v>
      </c>
      <c r="J2" s="2" t="s">
        <v>32</v>
      </c>
      <c r="K2" s="2" t="s">
        <v>4</v>
      </c>
      <c r="M2" s="1" t="s">
        <v>5</v>
      </c>
      <c r="N2" s="1" t="s">
        <v>6</v>
      </c>
      <c r="O2" s="1" t="s">
        <v>7</v>
      </c>
      <c r="P2" s="1" t="s">
        <v>8</v>
      </c>
      <c r="Q2" s="1" t="s">
        <v>9</v>
      </c>
      <c r="R2" s="1" t="s">
        <v>10</v>
      </c>
      <c r="S2" s="1" t="s">
        <v>36</v>
      </c>
    </row>
    <row r="3" spans="1:19" x14ac:dyDescent="0.35">
      <c r="A3" s="2" t="s">
        <v>11</v>
      </c>
      <c r="B3" s="4">
        <f>B4*(1.048)</f>
        <v>10953353.304</v>
      </c>
      <c r="C3" s="4">
        <f>0.35*B3</f>
        <v>3833673.6563999997</v>
      </c>
      <c r="D3" s="5">
        <f>261*(1.048)</f>
        <v>273.52800000000002</v>
      </c>
      <c r="E3" s="5">
        <f>D3*4</f>
        <v>1094.1120000000001</v>
      </c>
      <c r="F3" s="5">
        <f>D3</f>
        <v>273.52800000000002</v>
      </c>
      <c r="G3" s="4">
        <f>F3*2023</f>
        <v>553347.14400000009</v>
      </c>
      <c r="H3" s="4">
        <f>0.003*D3*20000</f>
        <v>16411.68</v>
      </c>
      <c r="I3" s="4">
        <f>9*E3</f>
        <v>9847.0080000000016</v>
      </c>
      <c r="J3" s="4">
        <f>C3-G3-H3-I3</f>
        <v>3254067.8243999993</v>
      </c>
      <c r="K3" s="16">
        <f>J3-J4</f>
        <v>714628.27439999953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6" t="s">
        <v>39</v>
      </c>
    </row>
    <row r="4" spans="1:19" x14ac:dyDescent="0.35">
      <c r="A4" s="2" t="s">
        <v>18</v>
      </c>
      <c r="B4" s="4">
        <v>10451673</v>
      </c>
      <c r="C4" s="4">
        <f>0.35*B4</f>
        <v>3658085.55</v>
      </c>
      <c r="D4" s="7">
        <v>261</v>
      </c>
      <c r="E4" s="5">
        <f>D4*4</f>
        <v>1044</v>
      </c>
      <c r="F4" s="7">
        <f>D4*2</f>
        <v>522</v>
      </c>
      <c r="G4" s="4">
        <f>F4*2023</f>
        <v>1056006</v>
      </c>
      <c r="H4" s="4">
        <f>0.012*D4*20000</f>
        <v>62640</v>
      </c>
      <c r="I4" s="4">
        <v>0</v>
      </c>
      <c r="J4" s="4">
        <f>C4-G4-H4-I4</f>
        <v>2539439.5499999998</v>
      </c>
      <c r="K4" s="16"/>
      <c r="M4" s="4">
        <f>$K$3/(1.0525)^M8</f>
        <v>678981.73339667416</v>
      </c>
      <c r="N4" s="4">
        <f>K7/(1.0525)^N8</f>
        <v>736176.7328836096</v>
      </c>
      <c r="O4" s="4">
        <f>K11/(1.0525)^O8</f>
        <v>742618.18794530886</v>
      </c>
      <c r="P4" s="4">
        <f>K15/(1.0525)^P8</f>
        <v>730550.46988820226</v>
      </c>
      <c r="Q4" s="4">
        <f>K19/(1.0525)^Q8</f>
        <v>728693.71661268978</v>
      </c>
      <c r="R4" s="4">
        <f>K23/(1.0525)^R8</f>
        <v>712829.31516043015</v>
      </c>
      <c r="S4" s="4">
        <f>SUM(M4:R4)-20000</f>
        <v>4309850.1558869146</v>
      </c>
    </row>
    <row r="5" spans="1:19" s="13" customFormat="1" x14ac:dyDescent="0.35">
      <c r="A5" s="12"/>
      <c r="B5" s="11"/>
      <c r="C5" s="1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x14ac:dyDescent="0.35">
      <c r="A6" s="1" t="s">
        <v>19</v>
      </c>
      <c r="B6" s="2" t="s">
        <v>1</v>
      </c>
      <c r="C6" s="2" t="s">
        <v>30</v>
      </c>
      <c r="D6" s="2" t="s">
        <v>2</v>
      </c>
      <c r="E6" s="2" t="s">
        <v>34</v>
      </c>
      <c r="F6" s="2" t="s">
        <v>29</v>
      </c>
      <c r="G6" s="2" t="s">
        <v>3</v>
      </c>
      <c r="H6" s="2" t="s">
        <v>31</v>
      </c>
      <c r="I6" s="2" t="s">
        <v>33</v>
      </c>
      <c r="J6" s="2" t="s">
        <v>32</v>
      </c>
      <c r="K6" s="2" t="s">
        <v>20</v>
      </c>
    </row>
    <row r="7" spans="1:19" x14ac:dyDescent="0.35">
      <c r="A7" s="2" t="s">
        <v>11</v>
      </c>
      <c r="B7" s="4">
        <f>B3*(1.031)</f>
        <v>11292907.256423999</v>
      </c>
      <c r="C7" s="4">
        <f>0.35*B7</f>
        <v>3952517.5397483991</v>
      </c>
      <c r="D7" s="5">
        <f>D3*(1.031)</f>
        <v>282.00736799999999</v>
      </c>
      <c r="E7" s="5">
        <f>D7*4</f>
        <v>1128.0294719999999</v>
      </c>
      <c r="F7" s="5">
        <f>D7</f>
        <v>282.00736799999999</v>
      </c>
      <c r="G7" s="4">
        <f>F7*2023</f>
        <v>570500.90546399995</v>
      </c>
      <c r="H7" s="4">
        <f>0.003*D7*20000</f>
        <v>16920.442080000001</v>
      </c>
      <c r="I7" s="4">
        <f>9*E7</f>
        <v>10152.265248</v>
      </c>
      <c r="J7" s="4">
        <f>C7-G7-H7-I7</f>
        <v>3354943.9269563989</v>
      </c>
      <c r="K7" s="16">
        <f>J7-J8</f>
        <v>815504.37695639906</v>
      </c>
    </row>
    <row r="8" spans="1:19" x14ac:dyDescent="0.35">
      <c r="A8" s="2" t="s">
        <v>18</v>
      </c>
      <c r="B8" s="4">
        <v>10451673</v>
      </c>
      <c r="C8" s="4">
        <f>0.35*B8</f>
        <v>3658085.55</v>
      </c>
      <c r="D8" s="7">
        <v>261</v>
      </c>
      <c r="E8" s="5">
        <f>D8*4</f>
        <v>1044</v>
      </c>
      <c r="F8" s="7">
        <f>D8*2</f>
        <v>522</v>
      </c>
      <c r="G8" s="4">
        <f>F8*2023</f>
        <v>1056006</v>
      </c>
      <c r="H8" s="4">
        <f>0.012*D8*20000</f>
        <v>62640</v>
      </c>
      <c r="I8" s="4">
        <v>0</v>
      </c>
      <c r="J8" s="4">
        <f>C8-G8-H8-I8</f>
        <v>2539439.5499999998</v>
      </c>
      <c r="K8" s="16"/>
      <c r="M8" s="3">
        <v>1</v>
      </c>
      <c r="N8" s="3">
        <v>2</v>
      </c>
      <c r="O8" s="3">
        <v>3</v>
      </c>
      <c r="P8" s="3">
        <v>4</v>
      </c>
      <c r="Q8" s="3">
        <v>5</v>
      </c>
      <c r="R8" s="3">
        <v>6</v>
      </c>
    </row>
    <row r="9" spans="1:19" s="13" customFormat="1" x14ac:dyDescent="0.3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 x14ac:dyDescent="0.35">
      <c r="A10" s="1" t="s">
        <v>21</v>
      </c>
      <c r="B10" s="2" t="s">
        <v>1</v>
      </c>
      <c r="C10" s="2" t="s">
        <v>30</v>
      </c>
      <c r="D10" s="2" t="s">
        <v>2</v>
      </c>
      <c r="E10" s="2" t="s">
        <v>34</v>
      </c>
      <c r="F10" s="2" t="s">
        <v>29</v>
      </c>
      <c r="G10" s="2" t="s">
        <v>3</v>
      </c>
      <c r="H10" s="2" t="s">
        <v>31</v>
      </c>
      <c r="I10" s="2" t="s">
        <v>33</v>
      </c>
      <c r="J10" s="2" t="s">
        <v>32</v>
      </c>
      <c r="K10" s="2" t="s">
        <v>22</v>
      </c>
    </row>
    <row r="11" spans="1:19" x14ac:dyDescent="0.35">
      <c r="A11" s="2" t="s">
        <v>11</v>
      </c>
      <c r="B11" s="4">
        <f>B7*(1.015)</f>
        <v>11462300.865270358</v>
      </c>
      <c r="C11" s="4">
        <f>0.35*B11</f>
        <v>4011805.302844625</v>
      </c>
      <c r="D11" s="5">
        <f>D7*(1.015)</f>
        <v>286.23747851999997</v>
      </c>
      <c r="E11" s="5">
        <f>D11*4</f>
        <v>1144.9499140799999</v>
      </c>
      <c r="F11" s="5">
        <f>D11</f>
        <v>286.23747851999997</v>
      </c>
      <c r="G11" s="4">
        <f>F11*2023</f>
        <v>579058.41904595995</v>
      </c>
      <c r="H11" s="4">
        <f>0.003*D11*20000</f>
        <v>17174.248711199998</v>
      </c>
      <c r="I11" s="4">
        <f>9*E11</f>
        <v>10304.549226719999</v>
      </c>
      <c r="J11" s="4">
        <f>C11-G11-H11-I11</f>
        <v>3405268.0858607451</v>
      </c>
      <c r="K11" s="16">
        <f>J11-J12</f>
        <v>865828.53586074524</v>
      </c>
      <c r="M11" s="8"/>
    </row>
    <row r="12" spans="1:19" x14ac:dyDescent="0.35">
      <c r="A12" s="2" t="s">
        <v>18</v>
      </c>
      <c r="B12" s="4">
        <v>10451673</v>
      </c>
      <c r="C12" s="4">
        <f>0.35*B12</f>
        <v>3658085.55</v>
      </c>
      <c r="D12" s="7">
        <v>261</v>
      </c>
      <c r="E12" s="5">
        <f>D12*4</f>
        <v>1044</v>
      </c>
      <c r="F12" s="7">
        <f>D12*2</f>
        <v>522</v>
      </c>
      <c r="G12" s="4">
        <f>F12*2023</f>
        <v>1056006</v>
      </c>
      <c r="H12" s="4">
        <f>0.012*D12*20000</f>
        <v>62640</v>
      </c>
      <c r="I12" s="4">
        <v>0</v>
      </c>
      <c r="J12" s="4">
        <f>C12-G12-H12-I12</f>
        <v>2539439.5499999998</v>
      </c>
      <c r="K12" s="16"/>
    </row>
    <row r="13" spans="1:19" s="13" customFormat="1" x14ac:dyDescent="0.3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x14ac:dyDescent="0.35">
      <c r="A14" s="1" t="s">
        <v>23</v>
      </c>
      <c r="B14" s="2" t="s">
        <v>1</v>
      </c>
      <c r="C14" s="2" t="s">
        <v>30</v>
      </c>
      <c r="D14" s="2" t="s">
        <v>2</v>
      </c>
      <c r="E14" s="2" t="s">
        <v>34</v>
      </c>
      <c r="F14" s="2" t="s">
        <v>29</v>
      </c>
      <c r="G14" s="2" t="s">
        <v>3</v>
      </c>
      <c r="H14" s="2" t="s">
        <v>31</v>
      </c>
      <c r="I14" s="2" t="s">
        <v>33</v>
      </c>
      <c r="J14" s="2" t="s">
        <v>32</v>
      </c>
      <c r="K14" s="2" t="s">
        <v>24</v>
      </c>
    </row>
    <row r="15" spans="1:19" x14ac:dyDescent="0.35">
      <c r="A15" s="2" t="s">
        <v>11</v>
      </c>
      <c r="B15" s="4">
        <f>B11*(1.009)</f>
        <v>11565461.573057789</v>
      </c>
      <c r="C15" s="4">
        <f>0.35*B15</f>
        <v>4047911.5505702258</v>
      </c>
      <c r="D15" s="5">
        <f>D11*(1.009)</f>
        <v>288.81361582667995</v>
      </c>
      <c r="E15" s="5">
        <f>D15*4</f>
        <v>1155.2544633067198</v>
      </c>
      <c r="F15" s="5">
        <f>D15</f>
        <v>288.81361582667995</v>
      </c>
      <c r="G15" s="4">
        <f>F15*2023</f>
        <v>584269.94481737353</v>
      </c>
      <c r="H15" s="4">
        <f>0.003*D15*20000</f>
        <v>17328.816949600798</v>
      </c>
      <c r="I15" s="4">
        <f>9*E15</f>
        <v>10397.290169760478</v>
      </c>
      <c r="J15" s="4">
        <f>C15-G15-H15-I15</f>
        <v>3435915.4986334909</v>
      </c>
      <c r="K15" s="16">
        <f>J15-J16</f>
        <v>896475.94863349106</v>
      </c>
    </row>
    <row r="16" spans="1:19" x14ac:dyDescent="0.35">
      <c r="A16" s="2" t="s">
        <v>18</v>
      </c>
      <c r="B16" s="4">
        <v>10451673</v>
      </c>
      <c r="C16" s="4">
        <f>0.35*B16</f>
        <v>3658085.55</v>
      </c>
      <c r="D16" s="7">
        <v>261</v>
      </c>
      <c r="E16" s="5">
        <f>D16*4</f>
        <v>1044</v>
      </c>
      <c r="F16" s="7">
        <f>D16*2</f>
        <v>522</v>
      </c>
      <c r="G16" s="4">
        <f>F16*2023</f>
        <v>1056006</v>
      </c>
      <c r="H16" s="4">
        <f>0.012*D16*20000</f>
        <v>62640</v>
      </c>
      <c r="I16" s="4">
        <v>0</v>
      </c>
      <c r="J16" s="4">
        <f>C16-G16-H16-I16</f>
        <v>2539439.5499999998</v>
      </c>
      <c r="K16" s="16"/>
      <c r="M16" s="10"/>
    </row>
    <row r="17" spans="1:19" s="13" customFormat="1" x14ac:dyDescent="0.3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x14ac:dyDescent="0.35">
      <c r="A18" s="1" t="s">
        <v>25</v>
      </c>
      <c r="B18" s="2" t="s">
        <v>1</v>
      </c>
      <c r="C18" s="2" t="s">
        <v>30</v>
      </c>
      <c r="D18" s="2" t="s">
        <v>2</v>
      </c>
      <c r="E18" s="2" t="s">
        <v>34</v>
      </c>
      <c r="F18" s="2" t="s">
        <v>29</v>
      </c>
      <c r="G18" s="2" t="s">
        <v>3</v>
      </c>
      <c r="H18" s="2" t="s">
        <v>31</v>
      </c>
      <c r="I18" s="2" t="s">
        <v>33</v>
      </c>
      <c r="J18" s="2" t="s">
        <v>32</v>
      </c>
      <c r="K18" s="2" t="s">
        <v>26</v>
      </c>
    </row>
    <row r="19" spans="1:19" x14ac:dyDescent="0.35">
      <c r="A19" s="2" t="s">
        <v>11</v>
      </c>
      <c r="B19" s="4">
        <f>B15*1.013</f>
        <v>11715812.57350754</v>
      </c>
      <c r="C19" s="4">
        <f>0.35*B19</f>
        <v>4100534.4007276385</v>
      </c>
      <c r="D19" s="5">
        <f>D15*(1.013)</f>
        <v>292.56819283242675</v>
      </c>
      <c r="E19" s="5">
        <f>D19*4</f>
        <v>1170.272771329707</v>
      </c>
      <c r="F19" s="5">
        <f>D19</f>
        <v>292.56819283242675</v>
      </c>
      <c r="G19" s="4">
        <f>F19*2023</f>
        <v>591865.45409999928</v>
      </c>
      <c r="H19" s="4">
        <f>0.003*D19*20000</f>
        <v>17554.091569945605</v>
      </c>
      <c r="I19" s="4">
        <f>9*E19</f>
        <v>10532.454941967362</v>
      </c>
      <c r="J19" s="4">
        <f>C19-G19-H19-I19</f>
        <v>3480582.400115726</v>
      </c>
      <c r="K19" s="16">
        <f>J19-J20</f>
        <v>941142.85011572624</v>
      </c>
    </row>
    <row r="20" spans="1:19" x14ac:dyDescent="0.35">
      <c r="A20" s="2" t="s">
        <v>18</v>
      </c>
      <c r="B20" s="4">
        <v>10451673</v>
      </c>
      <c r="C20" s="4">
        <f>0.35*B20</f>
        <v>3658085.55</v>
      </c>
      <c r="D20" s="7">
        <v>261</v>
      </c>
      <c r="E20" s="5">
        <f>D20*4</f>
        <v>1044</v>
      </c>
      <c r="F20" s="7">
        <f>D20*2</f>
        <v>522</v>
      </c>
      <c r="G20" s="4">
        <f>F20*2023</f>
        <v>1056006</v>
      </c>
      <c r="H20" s="4">
        <f>0.012*D20*20000</f>
        <v>62640</v>
      </c>
      <c r="I20" s="4">
        <v>0</v>
      </c>
      <c r="J20" s="4">
        <f>C20-G20-H20-I20</f>
        <v>2539439.5499999998</v>
      </c>
      <c r="K20" s="16"/>
    </row>
    <row r="21" spans="1:19" s="13" customFormat="1" x14ac:dyDescent="0.3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</row>
    <row r="22" spans="1:19" x14ac:dyDescent="0.35">
      <c r="A22" s="1" t="s">
        <v>27</v>
      </c>
      <c r="B22" s="2" t="s">
        <v>1</v>
      </c>
      <c r="C22" s="2" t="s">
        <v>30</v>
      </c>
      <c r="D22" s="2" t="s">
        <v>2</v>
      </c>
      <c r="E22" s="2" t="s">
        <v>34</v>
      </c>
      <c r="F22" s="2" t="s">
        <v>29</v>
      </c>
      <c r="G22" s="2" t="s">
        <v>3</v>
      </c>
      <c r="H22" s="2" t="s">
        <v>31</v>
      </c>
      <c r="I22" s="2" t="s">
        <v>33</v>
      </c>
      <c r="J22" s="2" t="s">
        <v>32</v>
      </c>
      <c r="K22" s="2" t="s">
        <v>28</v>
      </c>
    </row>
    <row r="23" spans="1:19" x14ac:dyDescent="0.35">
      <c r="A23" s="2" t="s">
        <v>11</v>
      </c>
      <c r="B23" s="4">
        <f>B19*1.008</f>
        <v>11809539.074095601</v>
      </c>
      <c r="C23" s="4">
        <f>0.35*B23</f>
        <v>4133338.6759334602</v>
      </c>
      <c r="D23" s="5">
        <f>D19*1.008</f>
        <v>294.90873837508616</v>
      </c>
      <c r="E23" s="5">
        <f>D23*4</f>
        <v>1179.6349535003446</v>
      </c>
      <c r="F23" s="5">
        <f>D23</f>
        <v>294.90873837508616</v>
      </c>
      <c r="G23" s="4">
        <f>F23*2023</f>
        <v>596600.37773279927</v>
      </c>
      <c r="H23" s="4">
        <f>0.003*D23*20000</f>
        <v>17694.524302505171</v>
      </c>
      <c r="I23" s="4">
        <f>9*E23</f>
        <v>10616.714581503102</v>
      </c>
      <c r="J23" s="4">
        <f>C23-G23-H23-I23</f>
        <v>3508427.0593166528</v>
      </c>
      <c r="K23" s="16">
        <f>J23-J24</f>
        <v>968987.50931665301</v>
      </c>
    </row>
    <row r="24" spans="1:19" x14ac:dyDescent="0.35">
      <c r="A24" s="2" t="s">
        <v>18</v>
      </c>
      <c r="B24" s="4">
        <v>10451673</v>
      </c>
      <c r="C24" s="4">
        <f>0.35*B24</f>
        <v>3658085.55</v>
      </c>
      <c r="D24" s="7">
        <v>261</v>
      </c>
      <c r="E24" s="5">
        <f>D24*4</f>
        <v>1044</v>
      </c>
      <c r="F24" s="7">
        <f>D24*2</f>
        <v>522</v>
      </c>
      <c r="G24" s="4">
        <f>F24*2023</f>
        <v>1056006</v>
      </c>
      <c r="H24" s="4">
        <f>0.012*D24*20000</f>
        <v>62640</v>
      </c>
      <c r="I24" s="4">
        <v>0</v>
      </c>
      <c r="J24" s="4">
        <f>C24-G24-H24-I24</f>
        <v>2539439.5499999998</v>
      </c>
      <c r="K24" s="16"/>
    </row>
    <row r="25" spans="1:19" s="13" customFormat="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9" spans="1:19" x14ac:dyDescent="0.35">
      <c r="L29" s="14"/>
    </row>
  </sheetData>
  <mergeCells count="6">
    <mergeCell ref="K23:K24"/>
    <mergeCell ref="K3:K4"/>
    <mergeCell ref="K7:K8"/>
    <mergeCell ref="K11:K12"/>
    <mergeCell ref="K15:K16"/>
    <mergeCell ref="K19:K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F8504-1889-4911-A704-79C8818B809F}">
  <dimension ref="A1:T29"/>
  <sheetViews>
    <sheetView topLeftCell="H1" zoomScale="78" workbookViewId="0">
      <selection activeCell="M4" sqref="M4:S4"/>
    </sheetView>
  </sheetViews>
  <sheetFormatPr defaultRowHeight="14.5" x14ac:dyDescent="0.35"/>
  <cols>
    <col min="1" max="1" width="17.7265625" style="3" bestFit="1" customWidth="1"/>
    <col min="2" max="2" width="12.90625" style="3" bestFit="1" customWidth="1"/>
    <col min="3" max="3" width="12.90625" style="3" customWidth="1"/>
    <col min="4" max="5" width="11.453125" style="3" customWidth="1"/>
    <col min="6" max="6" width="14.08984375" style="3" bestFit="1" customWidth="1"/>
    <col min="7" max="7" width="20" style="3" bestFit="1" customWidth="1"/>
    <col min="8" max="8" width="20" style="3" customWidth="1"/>
    <col min="9" max="9" width="23.26953125" style="3" bestFit="1" customWidth="1"/>
    <col min="10" max="10" width="20" style="3" customWidth="1"/>
    <col min="11" max="11" width="13.90625" style="3" bestFit="1" customWidth="1"/>
    <col min="12" max="12" width="21.26953125" style="12" bestFit="1" customWidth="1"/>
    <col min="13" max="18" width="17.7265625" style="3" bestFit="1" customWidth="1"/>
    <col min="19" max="19" width="21.26953125" style="3" bestFit="1" customWidth="1"/>
    <col min="20" max="20" width="8.7265625" style="13"/>
  </cols>
  <sheetData>
    <row r="1" spans="1:19" s="13" customFormat="1" x14ac:dyDescent="0.3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x14ac:dyDescent="0.35">
      <c r="A2" s="1" t="s">
        <v>0</v>
      </c>
      <c r="B2" s="2" t="s">
        <v>1</v>
      </c>
      <c r="C2" s="2" t="s">
        <v>30</v>
      </c>
      <c r="D2" s="2" t="s">
        <v>2</v>
      </c>
      <c r="E2" s="2" t="s">
        <v>34</v>
      </c>
      <c r="F2" s="2" t="s">
        <v>29</v>
      </c>
      <c r="G2" s="2" t="s">
        <v>3</v>
      </c>
      <c r="H2" s="2" t="s">
        <v>31</v>
      </c>
      <c r="I2" s="2" t="s">
        <v>33</v>
      </c>
      <c r="J2" s="2" t="s">
        <v>32</v>
      </c>
      <c r="K2" s="2" t="s">
        <v>4</v>
      </c>
      <c r="M2" s="1" t="s">
        <v>5</v>
      </c>
      <c r="N2" s="1" t="s">
        <v>6</v>
      </c>
      <c r="O2" s="1" t="s">
        <v>7</v>
      </c>
      <c r="P2" s="1" t="s">
        <v>8</v>
      </c>
      <c r="Q2" s="1" t="s">
        <v>9</v>
      </c>
      <c r="R2" s="1" t="s">
        <v>10</v>
      </c>
      <c r="S2" s="1" t="s">
        <v>36</v>
      </c>
    </row>
    <row r="3" spans="1:19" x14ac:dyDescent="0.35">
      <c r="A3" s="2" t="s">
        <v>37</v>
      </c>
      <c r="B3" s="4">
        <f>B4*(1.068)</f>
        <v>11162386.764</v>
      </c>
      <c r="C3" s="4">
        <f>0.35*B3</f>
        <v>3906835.3673999999</v>
      </c>
      <c r="D3" s="5">
        <f>261*(1.068)</f>
        <v>278.74799999999999</v>
      </c>
      <c r="E3" s="5">
        <f>D3*4</f>
        <v>1114.992</v>
      </c>
      <c r="F3" s="5">
        <f>D3</f>
        <v>278.74799999999999</v>
      </c>
      <c r="G3" s="4">
        <f>F3*2023</f>
        <v>563907.20400000003</v>
      </c>
      <c r="H3" s="4">
        <f>0.003*D3*20000</f>
        <v>16724.88</v>
      </c>
      <c r="I3" s="4">
        <f>9*E3</f>
        <v>10034.928</v>
      </c>
      <c r="J3" s="4">
        <f>C3-G3-H3-I3</f>
        <v>3316168.3554000002</v>
      </c>
      <c r="K3" s="16">
        <f>J3-J4</f>
        <v>776728.80540000042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6" t="s">
        <v>39</v>
      </c>
    </row>
    <row r="4" spans="1:19" x14ac:dyDescent="0.35">
      <c r="A4" s="2" t="s">
        <v>18</v>
      </c>
      <c r="B4" s="4">
        <v>10451673</v>
      </c>
      <c r="C4" s="4">
        <f>0.35*B4</f>
        <v>3658085.55</v>
      </c>
      <c r="D4" s="7">
        <v>261</v>
      </c>
      <c r="E4" s="5">
        <f>D4*4</f>
        <v>1044</v>
      </c>
      <c r="F4" s="7">
        <f>D4*2</f>
        <v>522</v>
      </c>
      <c r="G4" s="4">
        <f>F4*2023</f>
        <v>1056006</v>
      </c>
      <c r="H4" s="4">
        <f>0.012*D4*20000</f>
        <v>62640</v>
      </c>
      <c r="I4" s="4">
        <v>0</v>
      </c>
      <c r="J4" s="4">
        <f>C4-G4-H4-I4</f>
        <v>2539439.5499999998</v>
      </c>
      <c r="K4" s="16"/>
      <c r="M4" s="4">
        <f>$K$3/(1.0525)^M8</f>
        <v>737984.61320665118</v>
      </c>
      <c r="N4" s="4">
        <f>K7/(1.0525)^N8</f>
        <v>853846.13404383848</v>
      </c>
      <c r="O4" s="4">
        <f>K11/(1.0525)^O8</f>
        <v>915881.57046876661</v>
      </c>
      <c r="P4" s="4">
        <f>K15/(1.0525)^P8</f>
        <v>955445.25139152724</v>
      </c>
      <c r="Q4" s="4">
        <f>K19/(1.0525)^Q8</f>
        <v>1002627.9653056354</v>
      </c>
      <c r="R4" s="4">
        <f>K23/(1.0525)^R8</f>
        <v>1031596.3000920251</v>
      </c>
      <c r="S4" s="4">
        <f>SUM(M4:R4)-20000</f>
        <v>5477381.8345084442</v>
      </c>
    </row>
    <row r="5" spans="1:19" s="13" customFormat="1" x14ac:dyDescent="0.35">
      <c r="A5" s="12"/>
      <c r="B5" s="11"/>
      <c r="C5" s="1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x14ac:dyDescent="0.35">
      <c r="A6" s="1" t="s">
        <v>19</v>
      </c>
      <c r="B6" s="2" t="s">
        <v>1</v>
      </c>
      <c r="C6" s="2" t="s">
        <v>30</v>
      </c>
      <c r="D6" s="2" t="s">
        <v>2</v>
      </c>
      <c r="E6" s="2" t="s">
        <v>34</v>
      </c>
      <c r="F6" s="2" t="s">
        <v>29</v>
      </c>
      <c r="G6" s="2" t="s">
        <v>3</v>
      </c>
      <c r="H6" s="2" t="s">
        <v>31</v>
      </c>
      <c r="I6" s="2" t="s">
        <v>33</v>
      </c>
      <c r="J6" s="2" t="s">
        <v>32</v>
      </c>
      <c r="K6" s="2" t="s">
        <v>20</v>
      </c>
    </row>
    <row r="7" spans="1:19" x14ac:dyDescent="0.35">
      <c r="A7" s="2" t="s">
        <v>37</v>
      </c>
      <c r="B7" s="4">
        <f>B3*(1.051)</f>
        <v>11731668.488963999</v>
      </c>
      <c r="C7" s="4">
        <f>0.35*B7</f>
        <v>4106083.9711373993</v>
      </c>
      <c r="D7" s="5">
        <f>D3*(1.051)</f>
        <v>292.96414799999997</v>
      </c>
      <c r="E7" s="5">
        <f>D7*4</f>
        <v>1171.8565919999999</v>
      </c>
      <c r="F7" s="5">
        <f>D7</f>
        <v>292.96414799999997</v>
      </c>
      <c r="G7" s="4">
        <f>F7*2023</f>
        <v>592666.47140399995</v>
      </c>
      <c r="H7" s="4">
        <f>0.003*D7*20000</f>
        <v>17577.848879999998</v>
      </c>
      <c r="I7" s="4">
        <f>9*E7</f>
        <v>10546.709327999999</v>
      </c>
      <c r="J7" s="4">
        <f>C7-G7-H7-I7</f>
        <v>3485292.9415253997</v>
      </c>
      <c r="K7" s="16">
        <f>J7-J8</f>
        <v>945853.39152539987</v>
      </c>
    </row>
    <row r="8" spans="1:19" x14ac:dyDescent="0.35">
      <c r="A8" s="2" t="s">
        <v>18</v>
      </c>
      <c r="B8" s="4">
        <v>10451673</v>
      </c>
      <c r="C8" s="4">
        <f>0.35*B8</f>
        <v>3658085.55</v>
      </c>
      <c r="D8" s="7">
        <v>261</v>
      </c>
      <c r="E8" s="5">
        <f>D8*4</f>
        <v>1044</v>
      </c>
      <c r="F8" s="7">
        <f>D8*2</f>
        <v>522</v>
      </c>
      <c r="G8" s="4">
        <f>F8*2023</f>
        <v>1056006</v>
      </c>
      <c r="H8" s="4">
        <f>0.012*D8*20000</f>
        <v>62640</v>
      </c>
      <c r="I8" s="4">
        <v>0</v>
      </c>
      <c r="J8" s="4">
        <f>C8-G8-H8-I8</f>
        <v>2539439.5499999998</v>
      </c>
      <c r="K8" s="16"/>
      <c r="M8" s="3">
        <v>1</v>
      </c>
      <c r="N8" s="3">
        <v>2</v>
      </c>
      <c r="O8" s="3">
        <v>3</v>
      </c>
      <c r="P8" s="3">
        <v>4</v>
      </c>
      <c r="Q8" s="3">
        <v>5</v>
      </c>
      <c r="R8" s="3">
        <v>6</v>
      </c>
    </row>
    <row r="9" spans="1:19" s="13" customFormat="1" x14ac:dyDescent="0.3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 x14ac:dyDescent="0.35">
      <c r="A10" s="1" t="s">
        <v>21</v>
      </c>
      <c r="B10" s="2" t="s">
        <v>1</v>
      </c>
      <c r="C10" s="2" t="s">
        <v>30</v>
      </c>
      <c r="D10" s="2" t="s">
        <v>2</v>
      </c>
      <c r="E10" s="2" t="s">
        <v>34</v>
      </c>
      <c r="F10" s="2" t="s">
        <v>29</v>
      </c>
      <c r="G10" s="2" t="s">
        <v>3</v>
      </c>
      <c r="H10" s="2" t="s">
        <v>31</v>
      </c>
      <c r="I10" s="2" t="s">
        <v>33</v>
      </c>
      <c r="J10" s="2" t="s">
        <v>32</v>
      </c>
      <c r="K10" s="2" t="s">
        <v>22</v>
      </c>
    </row>
    <row r="11" spans="1:19" x14ac:dyDescent="0.35">
      <c r="A11" s="2" t="s">
        <v>37</v>
      </c>
      <c r="B11" s="4">
        <f>B7*(1.035)</f>
        <v>12142276.886077737</v>
      </c>
      <c r="C11" s="4">
        <f>0.35*B11</f>
        <v>4249796.9101272076</v>
      </c>
      <c r="D11" s="5">
        <f>D7*(1.035)</f>
        <v>303.21789317999992</v>
      </c>
      <c r="E11" s="5">
        <f>D11*4</f>
        <v>1212.8715727199997</v>
      </c>
      <c r="F11" s="5">
        <f>D11</f>
        <v>303.21789317999992</v>
      </c>
      <c r="G11" s="4">
        <f>F11*2023</f>
        <v>613409.79790313984</v>
      </c>
      <c r="H11" s="4">
        <f>0.003*D11*20000</f>
        <v>18193.073590799995</v>
      </c>
      <c r="I11" s="4">
        <f>9*E11</f>
        <v>10915.844154479997</v>
      </c>
      <c r="J11" s="4">
        <f>C11-G11-H11-I11</f>
        <v>3607278.1944787875</v>
      </c>
      <c r="K11" s="16">
        <f>J11-J12</f>
        <v>1067838.6444787877</v>
      </c>
      <c r="M11" s="8"/>
    </row>
    <row r="12" spans="1:19" x14ac:dyDescent="0.35">
      <c r="A12" s="2" t="s">
        <v>18</v>
      </c>
      <c r="B12" s="4">
        <v>10451673</v>
      </c>
      <c r="C12" s="4">
        <f>0.35*B12</f>
        <v>3658085.55</v>
      </c>
      <c r="D12" s="7">
        <v>261</v>
      </c>
      <c r="E12" s="5">
        <f>D12*4</f>
        <v>1044</v>
      </c>
      <c r="F12" s="7">
        <f>D12*2</f>
        <v>522</v>
      </c>
      <c r="G12" s="4">
        <f>F12*2023</f>
        <v>1056006</v>
      </c>
      <c r="H12" s="4">
        <f>0.012*D12*20000</f>
        <v>62640</v>
      </c>
      <c r="I12" s="4">
        <v>0</v>
      </c>
      <c r="J12" s="4">
        <f>C12-G12-H12-I12</f>
        <v>2539439.5499999998</v>
      </c>
      <c r="K12" s="16"/>
    </row>
    <row r="13" spans="1:19" s="13" customFormat="1" x14ac:dyDescent="0.3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x14ac:dyDescent="0.35">
      <c r="A14" s="1" t="s">
        <v>23</v>
      </c>
      <c r="B14" s="2" t="s">
        <v>1</v>
      </c>
      <c r="C14" s="2" t="s">
        <v>30</v>
      </c>
      <c r="D14" s="2" t="s">
        <v>2</v>
      </c>
      <c r="E14" s="2" t="s">
        <v>34</v>
      </c>
      <c r="F14" s="2" t="s">
        <v>29</v>
      </c>
      <c r="G14" s="2" t="s">
        <v>3</v>
      </c>
      <c r="H14" s="2" t="s">
        <v>31</v>
      </c>
      <c r="I14" s="2" t="s">
        <v>33</v>
      </c>
      <c r="J14" s="2" t="s">
        <v>32</v>
      </c>
      <c r="K14" s="2" t="s">
        <v>24</v>
      </c>
    </row>
    <row r="15" spans="1:19" x14ac:dyDescent="0.35">
      <c r="A15" s="2" t="s">
        <v>37</v>
      </c>
      <c r="B15" s="4">
        <f>B11*(1.029)</f>
        <v>12494402.915773991</v>
      </c>
      <c r="C15" s="4">
        <f>0.35*B15</f>
        <v>4373041.0205208967</v>
      </c>
      <c r="D15" s="5">
        <f>D11*(1.029)</f>
        <v>312.01121208221991</v>
      </c>
      <c r="E15" s="5">
        <f>D15*4</f>
        <v>1248.0448483288797</v>
      </c>
      <c r="F15" s="5">
        <f>D15</f>
        <v>312.01121208221991</v>
      </c>
      <c r="G15" s="4">
        <f>F15*2023</f>
        <v>631198.68204233085</v>
      </c>
      <c r="H15" s="4">
        <f>0.003*D15*20000</f>
        <v>18720.672724933196</v>
      </c>
      <c r="I15" s="4">
        <f>9*E15</f>
        <v>11232.403634959917</v>
      </c>
      <c r="J15" s="4">
        <f>C15-G15-H15-I15</f>
        <v>3711889.2621186725</v>
      </c>
      <c r="K15" s="16">
        <f>J15-J16</f>
        <v>1172449.7121186727</v>
      </c>
    </row>
    <row r="16" spans="1:19" x14ac:dyDescent="0.35">
      <c r="A16" s="2" t="s">
        <v>18</v>
      </c>
      <c r="B16" s="4">
        <v>10451673</v>
      </c>
      <c r="C16" s="4">
        <f>0.35*B16</f>
        <v>3658085.55</v>
      </c>
      <c r="D16" s="7">
        <v>261</v>
      </c>
      <c r="E16" s="5">
        <f>D16*4</f>
        <v>1044</v>
      </c>
      <c r="F16" s="7">
        <f>D16*2</f>
        <v>522</v>
      </c>
      <c r="G16" s="4">
        <f>F16*2023</f>
        <v>1056006</v>
      </c>
      <c r="H16" s="4">
        <f>0.012*D16*20000</f>
        <v>62640</v>
      </c>
      <c r="I16" s="4">
        <v>0</v>
      </c>
      <c r="J16" s="4">
        <f>C16-G16-H16-I16</f>
        <v>2539439.5499999998</v>
      </c>
      <c r="K16" s="16"/>
      <c r="M16" s="10"/>
    </row>
    <row r="17" spans="1:19" s="13" customFormat="1" x14ac:dyDescent="0.3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x14ac:dyDescent="0.35">
      <c r="A18" s="1" t="s">
        <v>25</v>
      </c>
      <c r="B18" s="2" t="s">
        <v>1</v>
      </c>
      <c r="C18" s="2" t="s">
        <v>30</v>
      </c>
      <c r="D18" s="2" t="s">
        <v>2</v>
      </c>
      <c r="E18" s="2" t="s">
        <v>34</v>
      </c>
      <c r="F18" s="2" t="s">
        <v>29</v>
      </c>
      <c r="G18" s="2" t="s">
        <v>3</v>
      </c>
      <c r="H18" s="2" t="s">
        <v>31</v>
      </c>
      <c r="I18" s="2" t="s">
        <v>33</v>
      </c>
      <c r="J18" s="2" t="s">
        <v>32</v>
      </c>
      <c r="K18" s="2" t="s">
        <v>26</v>
      </c>
    </row>
    <row r="19" spans="1:19" x14ac:dyDescent="0.35">
      <c r="A19" s="2" t="s">
        <v>37</v>
      </c>
      <c r="B19" s="4">
        <f>B15*1.033</f>
        <v>12906718.211994532</v>
      </c>
      <c r="C19" s="4">
        <f>0.35*B19</f>
        <v>4517351.3741980856</v>
      </c>
      <c r="D19" s="5">
        <f>D15*(1.033)</f>
        <v>322.30758208093317</v>
      </c>
      <c r="E19" s="5">
        <f>D19*4</f>
        <v>1289.2303283237327</v>
      </c>
      <c r="F19" s="5">
        <f>D19</f>
        <v>322.30758208093317</v>
      </c>
      <c r="G19" s="4">
        <f>F19*2023</f>
        <v>652028.23854972783</v>
      </c>
      <c r="H19" s="4">
        <f>0.003*D19*20000</f>
        <v>19338.454924855989</v>
      </c>
      <c r="I19" s="4">
        <f>9*E19</f>
        <v>11603.072954913594</v>
      </c>
      <c r="J19" s="4">
        <f>C19-G19-H19-I19</f>
        <v>3834381.6077685882</v>
      </c>
      <c r="K19" s="16">
        <f>J19-J20</f>
        <v>1294942.0577685884</v>
      </c>
    </row>
    <row r="20" spans="1:19" x14ac:dyDescent="0.35">
      <c r="A20" s="2" t="s">
        <v>18</v>
      </c>
      <c r="B20" s="4">
        <v>10451673</v>
      </c>
      <c r="C20" s="4">
        <f>0.35*B20</f>
        <v>3658085.55</v>
      </c>
      <c r="D20" s="7">
        <v>261</v>
      </c>
      <c r="E20" s="5">
        <f>D20*4</f>
        <v>1044</v>
      </c>
      <c r="F20" s="7">
        <f>D20*2</f>
        <v>522</v>
      </c>
      <c r="G20" s="4">
        <f>F20*2023</f>
        <v>1056006</v>
      </c>
      <c r="H20" s="4">
        <f>0.012*D20*20000</f>
        <v>62640</v>
      </c>
      <c r="I20" s="4">
        <v>0</v>
      </c>
      <c r="J20" s="4">
        <f>C20-G20-H20-I20</f>
        <v>2539439.5499999998</v>
      </c>
      <c r="K20" s="16"/>
    </row>
    <row r="21" spans="1:19" s="13" customFormat="1" x14ac:dyDescent="0.3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</row>
    <row r="22" spans="1:19" x14ac:dyDescent="0.35">
      <c r="A22" s="1" t="s">
        <v>27</v>
      </c>
      <c r="B22" s="2" t="s">
        <v>1</v>
      </c>
      <c r="C22" s="2" t="s">
        <v>30</v>
      </c>
      <c r="D22" s="2" t="s">
        <v>2</v>
      </c>
      <c r="E22" s="2" t="s">
        <v>34</v>
      </c>
      <c r="F22" s="2" t="s">
        <v>29</v>
      </c>
      <c r="G22" s="2" t="s">
        <v>3</v>
      </c>
      <c r="H22" s="2" t="s">
        <v>31</v>
      </c>
      <c r="I22" s="2" t="s">
        <v>33</v>
      </c>
      <c r="J22" s="2" t="s">
        <v>32</v>
      </c>
      <c r="K22" s="2" t="s">
        <v>28</v>
      </c>
    </row>
    <row r="23" spans="1:19" x14ac:dyDescent="0.35">
      <c r="A23" s="2" t="s">
        <v>37</v>
      </c>
      <c r="B23" s="4">
        <f>B19*1.028</f>
        <v>13268106.321930381</v>
      </c>
      <c r="C23" s="4">
        <f>0.35*B23</f>
        <v>4643837.2126756329</v>
      </c>
      <c r="D23" s="5">
        <f>D19*1.028</f>
        <v>331.33219437919934</v>
      </c>
      <c r="E23" s="5">
        <f>D23*4</f>
        <v>1325.3287775167973</v>
      </c>
      <c r="F23" s="5">
        <f>D23</f>
        <v>331.33219437919934</v>
      </c>
      <c r="G23" s="4">
        <f>F23*2023</f>
        <v>670285.02922912023</v>
      </c>
      <c r="H23" s="4">
        <f>0.003*D23*20000</f>
        <v>19879.931662751958</v>
      </c>
      <c r="I23" s="4">
        <f>9*E23</f>
        <v>11927.958997651176</v>
      </c>
      <c r="J23" s="4">
        <f>C23-G23-H23-I23</f>
        <v>3941744.2927861097</v>
      </c>
      <c r="K23" s="16">
        <f>J23-J24</f>
        <v>1402304.7427861099</v>
      </c>
    </row>
    <row r="24" spans="1:19" x14ac:dyDescent="0.35">
      <c r="A24" s="2" t="s">
        <v>18</v>
      </c>
      <c r="B24" s="4">
        <v>10451673</v>
      </c>
      <c r="C24" s="4">
        <f>0.35*B24</f>
        <v>3658085.55</v>
      </c>
      <c r="D24" s="7">
        <v>261</v>
      </c>
      <c r="E24" s="5">
        <f>D24*4</f>
        <v>1044</v>
      </c>
      <c r="F24" s="7">
        <f>D24*2</f>
        <v>522</v>
      </c>
      <c r="G24" s="4">
        <f>F24*2023</f>
        <v>1056006</v>
      </c>
      <c r="H24" s="4">
        <f>0.012*D24*20000</f>
        <v>62640</v>
      </c>
      <c r="I24" s="4">
        <v>0</v>
      </c>
      <c r="J24" s="4">
        <f>C24-G24-H24-I24</f>
        <v>2539439.5499999998</v>
      </c>
      <c r="K24" s="16"/>
    </row>
    <row r="25" spans="1:19" s="13" customFormat="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9" spans="1:19" x14ac:dyDescent="0.35">
      <c r="L29" s="14"/>
    </row>
  </sheetData>
  <mergeCells count="6">
    <mergeCell ref="K23:K24"/>
    <mergeCell ref="K3:K4"/>
    <mergeCell ref="K7:K8"/>
    <mergeCell ref="K11:K12"/>
    <mergeCell ref="K15:K16"/>
    <mergeCell ref="K19:K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5421-8F20-409F-901B-0DFA568EF078}">
  <dimension ref="A1:T29"/>
  <sheetViews>
    <sheetView topLeftCell="G1" zoomScale="78" workbookViewId="0">
      <selection activeCell="Q4" sqref="Q4"/>
    </sheetView>
  </sheetViews>
  <sheetFormatPr defaultRowHeight="14.5" x14ac:dyDescent="0.35"/>
  <cols>
    <col min="1" max="1" width="12.453125" style="3" bestFit="1" customWidth="1"/>
    <col min="2" max="2" width="11.36328125" style="3" bestFit="1" customWidth="1"/>
    <col min="3" max="3" width="12.7265625" style="3" bestFit="1" customWidth="1"/>
    <col min="4" max="4" width="10.81640625" style="3" bestFit="1" customWidth="1"/>
    <col min="5" max="5" width="11.26953125" style="3" bestFit="1" customWidth="1"/>
    <col min="6" max="6" width="14.08984375" style="3" bestFit="1" customWidth="1"/>
    <col min="7" max="7" width="19.90625" style="3" bestFit="1" customWidth="1"/>
    <col min="8" max="8" width="20.453125" style="3" bestFit="1" customWidth="1"/>
    <col min="9" max="9" width="23.26953125" style="3" bestFit="1" customWidth="1"/>
    <col min="10" max="10" width="10.453125" style="3" bestFit="1" customWidth="1"/>
    <col min="11" max="11" width="10.36328125" style="3" bestFit="1" customWidth="1"/>
    <col min="12" max="12" width="21.26953125" style="3" bestFit="1" customWidth="1"/>
    <col min="13" max="18" width="17.7265625" style="3" bestFit="1" customWidth="1"/>
    <col min="19" max="19" width="21.26953125" style="3" bestFit="1" customWidth="1"/>
  </cols>
  <sheetData>
    <row r="1" spans="1:20" x14ac:dyDescent="0.35">
      <c r="B1" s="19"/>
      <c r="C1" s="19"/>
      <c r="D1" s="19"/>
      <c r="E1" s="19"/>
      <c r="F1" s="19"/>
      <c r="G1" s="19"/>
      <c r="H1" s="19"/>
      <c r="I1" s="19"/>
      <c r="J1" s="19"/>
      <c r="K1" s="19"/>
      <c r="L1" s="17"/>
      <c r="M1" s="12"/>
      <c r="N1" s="12"/>
      <c r="O1" s="12"/>
      <c r="P1" s="12"/>
      <c r="Q1" s="12"/>
      <c r="R1" s="12"/>
      <c r="S1" s="12"/>
      <c r="T1" s="13"/>
    </row>
    <row r="2" spans="1:20" x14ac:dyDescent="0.35">
      <c r="A2" s="1" t="s">
        <v>0</v>
      </c>
      <c r="B2" s="2" t="s">
        <v>1</v>
      </c>
      <c r="C2" s="2" t="s">
        <v>30</v>
      </c>
      <c r="D2" s="2" t="s">
        <v>2</v>
      </c>
      <c r="E2" s="2" t="s">
        <v>34</v>
      </c>
      <c r="F2" s="2" t="s">
        <v>29</v>
      </c>
      <c r="G2" s="2" t="s">
        <v>3</v>
      </c>
      <c r="H2" s="2" t="s">
        <v>31</v>
      </c>
      <c r="I2" s="2" t="s">
        <v>33</v>
      </c>
      <c r="J2" s="2" t="s">
        <v>32</v>
      </c>
      <c r="K2" s="2" t="s">
        <v>4</v>
      </c>
      <c r="L2" s="17"/>
      <c r="M2" s="1" t="s">
        <v>5</v>
      </c>
      <c r="N2" s="1" t="s">
        <v>6</v>
      </c>
      <c r="O2" s="1" t="s">
        <v>7</v>
      </c>
      <c r="P2" s="1" t="s">
        <v>8</v>
      </c>
      <c r="Q2" s="1" t="s">
        <v>9</v>
      </c>
      <c r="R2" s="1" t="s">
        <v>10</v>
      </c>
      <c r="S2" s="1" t="s">
        <v>36</v>
      </c>
      <c r="T2" s="13"/>
    </row>
    <row r="3" spans="1:20" x14ac:dyDescent="0.35">
      <c r="A3" s="2" t="s">
        <v>38</v>
      </c>
      <c r="B3" s="4">
        <f>B4*(1.098)</f>
        <v>11475936.954000002</v>
      </c>
      <c r="C3" s="4">
        <f>0.35*B3</f>
        <v>4016577.9339000005</v>
      </c>
      <c r="D3" s="5">
        <f>261*(1.098)</f>
        <v>286.57800000000003</v>
      </c>
      <c r="E3" s="5">
        <f>D3*4</f>
        <v>1146.3120000000001</v>
      </c>
      <c r="F3" s="5">
        <f>D3</f>
        <v>286.57800000000003</v>
      </c>
      <c r="G3" s="4">
        <f>F3*2023</f>
        <v>579747.29400000011</v>
      </c>
      <c r="H3" s="4">
        <f>0.003*D3*20000</f>
        <v>17194.680000000004</v>
      </c>
      <c r="I3" s="4">
        <f>9*E3</f>
        <v>10316.808000000001</v>
      </c>
      <c r="J3" s="4">
        <f>C3-G3-H3-I3</f>
        <v>3409319.1518999999</v>
      </c>
      <c r="K3" s="16">
        <f>J3-J4</f>
        <v>869879.60190000013</v>
      </c>
      <c r="L3" s="17"/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6" t="s">
        <v>39</v>
      </c>
      <c r="T3" s="13"/>
    </row>
    <row r="4" spans="1:20" x14ac:dyDescent="0.35">
      <c r="A4" s="2" t="s">
        <v>18</v>
      </c>
      <c r="B4" s="4">
        <v>10451673</v>
      </c>
      <c r="C4" s="4">
        <f>0.35*B4</f>
        <v>3658085.55</v>
      </c>
      <c r="D4" s="7">
        <v>261</v>
      </c>
      <c r="E4" s="5">
        <f>D4*4</f>
        <v>1044</v>
      </c>
      <c r="F4" s="7">
        <f>D4*2</f>
        <v>522</v>
      </c>
      <c r="G4" s="4">
        <f>F4*2023</f>
        <v>1056006</v>
      </c>
      <c r="H4" s="4">
        <f>0.012*D4*20000</f>
        <v>62640</v>
      </c>
      <c r="I4" s="4">
        <v>0</v>
      </c>
      <c r="J4" s="4">
        <f>C4-G4-H4-I4</f>
        <v>2539439.5499999998</v>
      </c>
      <c r="K4" s="16"/>
      <c r="L4" s="17"/>
      <c r="M4" s="4">
        <f>$K$3/(1.0525)^M8</f>
        <v>826488.93292161531</v>
      </c>
      <c r="N4" s="4">
        <f>K7/(1.0525)^N8</f>
        <v>1034554.7165307353</v>
      </c>
      <c r="O4" s="4">
        <f>K11/(1.0525)^O8</f>
        <v>1188416.0524079672</v>
      </c>
      <c r="P4" s="4">
        <f>K15/(1.0525)^P8</f>
        <v>1317851.449227853</v>
      </c>
      <c r="Q4" s="4">
        <f>K19/(1.0525)^Q8</f>
        <v>1454869.1652388426</v>
      </c>
      <c r="R4" s="4">
        <f>K23/(1.0525)^R8</f>
        <v>1570822.8872334533</v>
      </c>
      <c r="S4" s="4">
        <f>SUM(M4:R4)-20000</f>
        <v>7373003.2035604659</v>
      </c>
      <c r="T4" s="13"/>
    </row>
    <row r="5" spans="1:20" x14ac:dyDescent="0.3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7"/>
      <c r="M5" s="12"/>
      <c r="N5" s="12"/>
      <c r="O5" s="12"/>
      <c r="P5" s="12"/>
      <c r="Q5" s="12"/>
      <c r="R5" s="12"/>
      <c r="S5" s="12"/>
    </row>
    <row r="6" spans="1:20" x14ac:dyDescent="0.35">
      <c r="A6" s="1" t="s">
        <v>19</v>
      </c>
      <c r="B6" s="2" t="s">
        <v>1</v>
      </c>
      <c r="C6" s="2" t="s">
        <v>30</v>
      </c>
      <c r="D6" s="2" t="s">
        <v>2</v>
      </c>
      <c r="E6" s="2" t="s">
        <v>34</v>
      </c>
      <c r="F6" s="2" t="s">
        <v>29</v>
      </c>
      <c r="G6" s="2" t="s">
        <v>3</v>
      </c>
      <c r="H6" s="2" t="s">
        <v>31</v>
      </c>
      <c r="I6" s="2" t="s">
        <v>33</v>
      </c>
      <c r="J6" s="2" t="s">
        <v>32</v>
      </c>
      <c r="K6" s="2" t="s">
        <v>20</v>
      </c>
      <c r="L6" s="17"/>
    </row>
    <row r="7" spans="1:20" x14ac:dyDescent="0.35">
      <c r="A7" s="2" t="s">
        <v>38</v>
      </c>
      <c r="B7" s="4">
        <f>B3*(1.081)</f>
        <v>12405487.847274002</v>
      </c>
      <c r="C7" s="4">
        <f>0.35*B7</f>
        <v>4341920.7465459006</v>
      </c>
      <c r="D7" s="5">
        <f>D3*(1.081)</f>
        <v>309.790818</v>
      </c>
      <c r="E7" s="5">
        <f>D7*4</f>
        <v>1239.163272</v>
      </c>
      <c r="F7" s="5">
        <f>D7</f>
        <v>309.790818</v>
      </c>
      <c r="G7" s="4">
        <f>F7*2023</f>
        <v>626706.82481400005</v>
      </c>
      <c r="H7" s="4">
        <f>0.003*D7*20000</f>
        <v>18587.449079999999</v>
      </c>
      <c r="I7" s="4">
        <f>9*E7</f>
        <v>11152.469448</v>
      </c>
      <c r="J7" s="4">
        <f>C7-G7-H7-I7</f>
        <v>3685474.0032039001</v>
      </c>
      <c r="K7" s="16">
        <f>J7-J8</f>
        <v>1146034.4532039003</v>
      </c>
      <c r="L7" s="17"/>
    </row>
    <row r="8" spans="1:20" x14ac:dyDescent="0.35">
      <c r="A8" s="2" t="s">
        <v>18</v>
      </c>
      <c r="B8" s="4">
        <v>10451673</v>
      </c>
      <c r="C8" s="4">
        <f>0.35*B8</f>
        <v>3658085.55</v>
      </c>
      <c r="D8" s="7">
        <v>261</v>
      </c>
      <c r="E8" s="5">
        <f>D8*4</f>
        <v>1044</v>
      </c>
      <c r="F8" s="7">
        <f>D8*2</f>
        <v>522</v>
      </c>
      <c r="G8" s="4">
        <f>F8*2023</f>
        <v>1056006</v>
      </c>
      <c r="H8" s="4">
        <f>0.012*D8*20000</f>
        <v>62640</v>
      </c>
      <c r="I8" s="4">
        <v>0</v>
      </c>
      <c r="J8" s="4">
        <f>C8-G8-H8-I8</f>
        <v>2539439.5499999998</v>
      </c>
      <c r="K8" s="16"/>
      <c r="L8" s="17"/>
      <c r="M8" s="3">
        <v>1</v>
      </c>
      <c r="N8" s="3">
        <v>2</v>
      </c>
      <c r="O8" s="3">
        <v>3</v>
      </c>
      <c r="P8" s="3">
        <v>4</v>
      </c>
      <c r="Q8" s="3">
        <v>5</v>
      </c>
      <c r="R8" s="3">
        <v>6</v>
      </c>
    </row>
    <row r="9" spans="1:20" x14ac:dyDescent="0.35">
      <c r="K9" s="12"/>
      <c r="L9" s="17"/>
    </row>
    <row r="10" spans="1:20" x14ac:dyDescent="0.35">
      <c r="A10" s="1" t="s">
        <v>21</v>
      </c>
      <c r="B10" s="2" t="s">
        <v>1</v>
      </c>
      <c r="C10" s="2" t="s">
        <v>30</v>
      </c>
      <c r="D10" s="2" t="s">
        <v>2</v>
      </c>
      <c r="E10" s="2" t="s">
        <v>34</v>
      </c>
      <c r="F10" s="2" t="s">
        <v>29</v>
      </c>
      <c r="G10" s="2" t="s">
        <v>3</v>
      </c>
      <c r="H10" s="2" t="s">
        <v>31</v>
      </c>
      <c r="I10" s="2" t="s">
        <v>33</v>
      </c>
      <c r="J10" s="2" t="s">
        <v>32</v>
      </c>
      <c r="K10" s="2" t="s">
        <v>22</v>
      </c>
      <c r="L10" s="17"/>
    </row>
    <row r="11" spans="1:20" x14ac:dyDescent="0.35">
      <c r="A11" s="2" t="s">
        <v>38</v>
      </c>
      <c r="B11" s="4">
        <f>B7*(1.065)</f>
        <v>13211844.557346812</v>
      </c>
      <c r="C11" s="4">
        <f>0.35*B11</f>
        <v>4624145.5950713838</v>
      </c>
      <c r="D11" s="5">
        <f>D7*(1.065)</f>
        <v>329.92722117</v>
      </c>
      <c r="E11" s="5">
        <f>D11*4</f>
        <v>1319.70888468</v>
      </c>
      <c r="F11" s="5">
        <f>D11</f>
        <v>329.92722117</v>
      </c>
      <c r="G11" s="4">
        <f>F11*2023</f>
        <v>667442.76842691004</v>
      </c>
      <c r="H11" s="4">
        <f>0.003*D11*20000</f>
        <v>19795.6332702</v>
      </c>
      <c r="I11" s="4">
        <f>9*E11</f>
        <v>11877.37996212</v>
      </c>
      <c r="J11" s="4">
        <f>C11-G11-H11-I11</f>
        <v>3925029.8134121536</v>
      </c>
      <c r="K11" s="16">
        <f>J11-J12</f>
        <v>1385590.2634121538</v>
      </c>
      <c r="L11" s="17"/>
      <c r="M11" s="11"/>
      <c r="N11" s="12"/>
    </row>
    <row r="12" spans="1:20" x14ac:dyDescent="0.35">
      <c r="A12" s="2" t="s">
        <v>18</v>
      </c>
      <c r="B12" s="4">
        <v>10451673</v>
      </c>
      <c r="C12" s="4">
        <f>0.35*B12</f>
        <v>3658085.55</v>
      </c>
      <c r="D12" s="7">
        <v>261</v>
      </c>
      <c r="E12" s="5">
        <f>D12*4</f>
        <v>1044</v>
      </c>
      <c r="F12" s="7">
        <f>D12*2</f>
        <v>522</v>
      </c>
      <c r="G12" s="4">
        <f>F12*2023</f>
        <v>1056006</v>
      </c>
      <c r="H12" s="4">
        <f>0.012*D12*20000</f>
        <v>62640</v>
      </c>
      <c r="I12" s="4">
        <v>0</v>
      </c>
      <c r="J12" s="4">
        <f>C12-G12-H12-I12</f>
        <v>2539439.5499999998</v>
      </c>
      <c r="K12" s="16"/>
      <c r="L12" s="17"/>
      <c r="M12" s="12"/>
      <c r="N12" s="12"/>
    </row>
    <row r="13" spans="1:20" x14ac:dyDescent="0.3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7"/>
    </row>
    <row r="14" spans="1:20" x14ac:dyDescent="0.35">
      <c r="A14" s="1" t="s">
        <v>23</v>
      </c>
      <c r="B14" s="2" t="s">
        <v>1</v>
      </c>
      <c r="C14" s="2" t="s">
        <v>30</v>
      </c>
      <c r="D14" s="2" t="s">
        <v>2</v>
      </c>
      <c r="E14" s="2" t="s">
        <v>34</v>
      </c>
      <c r="F14" s="2" t="s">
        <v>29</v>
      </c>
      <c r="G14" s="2" t="s">
        <v>3</v>
      </c>
      <c r="H14" s="2" t="s">
        <v>31</v>
      </c>
      <c r="I14" s="2" t="s">
        <v>33</v>
      </c>
      <c r="J14" s="2" t="s">
        <v>32</v>
      </c>
      <c r="K14" s="2" t="s">
        <v>24</v>
      </c>
      <c r="L14" s="17"/>
    </row>
    <row r="15" spans="1:20" x14ac:dyDescent="0.35">
      <c r="A15" s="2" t="s">
        <v>38</v>
      </c>
      <c r="B15" s="4">
        <f>B11*(1.059)</f>
        <v>13991343.386230273</v>
      </c>
      <c r="C15" s="4">
        <f>0.35*B15</f>
        <v>4896970.1851805951</v>
      </c>
      <c r="D15" s="5">
        <f>D11*(1.059)</f>
        <v>349.39292721902996</v>
      </c>
      <c r="E15" s="5">
        <f>D15*4</f>
        <v>1397.5717088761198</v>
      </c>
      <c r="F15" s="5">
        <f>D15</f>
        <v>349.39292721902996</v>
      </c>
      <c r="G15" s="4">
        <f>F15*2023</f>
        <v>706821.89176409761</v>
      </c>
      <c r="H15" s="4">
        <f>0.003*D15*20000</f>
        <v>20963.575633141802</v>
      </c>
      <c r="I15" s="4">
        <f>9*E15</f>
        <v>12578.145379885078</v>
      </c>
      <c r="J15" s="4">
        <f>C15-G15-H15-I15</f>
        <v>4156606.5724034705</v>
      </c>
      <c r="K15" s="16">
        <f>J15-J16</f>
        <v>1617167.0224034707</v>
      </c>
      <c r="L15" s="17"/>
    </row>
    <row r="16" spans="1:20" x14ac:dyDescent="0.35">
      <c r="A16" s="2" t="s">
        <v>18</v>
      </c>
      <c r="B16" s="4">
        <v>10451673</v>
      </c>
      <c r="C16" s="4">
        <f>0.35*B16</f>
        <v>3658085.55</v>
      </c>
      <c r="D16" s="7">
        <v>261</v>
      </c>
      <c r="E16" s="5">
        <f>D16*4</f>
        <v>1044</v>
      </c>
      <c r="F16" s="7">
        <f>D16*2</f>
        <v>522</v>
      </c>
      <c r="G16" s="4">
        <f>F16*2023</f>
        <v>1056006</v>
      </c>
      <c r="H16" s="4">
        <f>0.012*D16*20000</f>
        <v>62640</v>
      </c>
      <c r="I16" s="4">
        <v>0</v>
      </c>
      <c r="J16" s="4">
        <f>C16-G16-H16-I16</f>
        <v>2539439.5499999998</v>
      </c>
      <c r="K16" s="16"/>
      <c r="L16" s="17"/>
      <c r="M16" s="10"/>
    </row>
    <row r="17" spans="1:12" x14ac:dyDescent="0.3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7"/>
    </row>
    <row r="18" spans="1:12" x14ac:dyDescent="0.35">
      <c r="A18" s="1" t="s">
        <v>25</v>
      </c>
      <c r="B18" s="2" t="s">
        <v>1</v>
      </c>
      <c r="C18" s="2" t="s">
        <v>30</v>
      </c>
      <c r="D18" s="2" t="s">
        <v>2</v>
      </c>
      <c r="E18" s="2" t="s">
        <v>34</v>
      </c>
      <c r="F18" s="2" t="s">
        <v>29</v>
      </c>
      <c r="G18" s="2" t="s">
        <v>3</v>
      </c>
      <c r="H18" s="2" t="s">
        <v>31</v>
      </c>
      <c r="I18" s="2" t="s">
        <v>33</v>
      </c>
      <c r="J18" s="2" t="s">
        <v>32</v>
      </c>
      <c r="K18" s="2" t="s">
        <v>26</v>
      </c>
      <c r="L18" s="17"/>
    </row>
    <row r="19" spans="1:12" x14ac:dyDescent="0.35">
      <c r="A19" s="2" t="s">
        <v>38</v>
      </c>
      <c r="B19" s="4">
        <f>B15*1.063</f>
        <v>14872798.019562779</v>
      </c>
      <c r="C19" s="4">
        <f>0.35*B19</f>
        <v>5205479.3068469726</v>
      </c>
      <c r="D19" s="5">
        <f>D15*(1.063)</f>
        <v>371.40468163382883</v>
      </c>
      <c r="E19" s="5">
        <f>D19*4</f>
        <v>1485.6187265353153</v>
      </c>
      <c r="F19" s="5">
        <f>D19</f>
        <v>371.40468163382883</v>
      </c>
      <c r="G19" s="4">
        <f>F19*2023</f>
        <v>751351.67094523576</v>
      </c>
      <c r="H19" s="4">
        <f>0.003*D19*20000</f>
        <v>22284.28089802973</v>
      </c>
      <c r="I19" s="4">
        <f>9*E19</f>
        <v>13370.568538817837</v>
      </c>
      <c r="J19" s="4">
        <f>C19-G19-H19-I19</f>
        <v>4418472.7864648895</v>
      </c>
      <c r="K19" s="16">
        <f>J19-J20</f>
        <v>1879033.2364648897</v>
      </c>
      <c r="L19" s="17"/>
    </row>
    <row r="20" spans="1:12" x14ac:dyDescent="0.35">
      <c r="A20" s="2" t="s">
        <v>18</v>
      </c>
      <c r="B20" s="4">
        <v>10451673</v>
      </c>
      <c r="C20" s="4">
        <f>0.35*B20</f>
        <v>3658085.55</v>
      </c>
      <c r="D20" s="7">
        <v>261</v>
      </c>
      <c r="E20" s="5">
        <f>D20*4</f>
        <v>1044</v>
      </c>
      <c r="F20" s="7">
        <f>D20*2</f>
        <v>522</v>
      </c>
      <c r="G20" s="4">
        <f>F20*2023</f>
        <v>1056006</v>
      </c>
      <c r="H20" s="4">
        <f>0.012*D20*20000</f>
        <v>62640</v>
      </c>
      <c r="I20" s="4">
        <v>0</v>
      </c>
      <c r="J20" s="4">
        <f>C20-G20-H20-I20</f>
        <v>2539439.5499999998</v>
      </c>
      <c r="K20" s="16"/>
      <c r="L20" s="17"/>
    </row>
    <row r="21" spans="1:12" x14ac:dyDescent="0.35">
      <c r="C21" s="18"/>
      <c r="D21" s="18"/>
      <c r="E21" s="18"/>
      <c r="F21" s="18"/>
      <c r="G21" s="18"/>
      <c r="H21" s="18"/>
      <c r="I21" s="18"/>
      <c r="J21" s="18"/>
      <c r="K21" s="18"/>
      <c r="L21" s="17"/>
    </row>
    <row r="22" spans="1:12" x14ac:dyDescent="0.35">
      <c r="A22" s="1" t="s">
        <v>27</v>
      </c>
      <c r="B22" s="2" t="s">
        <v>1</v>
      </c>
      <c r="C22" s="2" t="s">
        <v>30</v>
      </c>
      <c r="D22" s="2" t="s">
        <v>2</v>
      </c>
      <c r="E22" s="2" t="s">
        <v>34</v>
      </c>
      <c r="F22" s="2" t="s">
        <v>29</v>
      </c>
      <c r="G22" s="2" t="s">
        <v>3</v>
      </c>
      <c r="H22" s="2" t="s">
        <v>31</v>
      </c>
      <c r="I22" s="2" t="s">
        <v>33</v>
      </c>
      <c r="J22" s="2" t="s">
        <v>32</v>
      </c>
      <c r="K22" s="2" t="s">
        <v>28</v>
      </c>
      <c r="L22" s="17"/>
    </row>
    <row r="23" spans="1:12" x14ac:dyDescent="0.35">
      <c r="A23" s="2" t="s">
        <v>38</v>
      </c>
      <c r="B23" s="4">
        <f>B19*1.058</f>
        <v>15735420.30469742</v>
      </c>
      <c r="C23" s="4">
        <f>0.35*B23</f>
        <v>5507397.1066440968</v>
      </c>
      <c r="D23" s="5">
        <f>D19*1.058</f>
        <v>392.94615316859091</v>
      </c>
      <c r="E23" s="5">
        <f>D23*4</f>
        <v>1571.7846126743636</v>
      </c>
      <c r="F23" s="5">
        <f>D23</f>
        <v>392.94615316859091</v>
      </c>
      <c r="G23" s="4">
        <f>F23*2023</f>
        <v>794930.06786005944</v>
      </c>
      <c r="H23" s="4">
        <f>0.003*D23*20000</f>
        <v>23576.769190115458</v>
      </c>
      <c r="I23" s="4">
        <f>9*E23</f>
        <v>14146.061514069273</v>
      </c>
      <c r="J23" s="4">
        <f>C23-G23-H23-I23</f>
        <v>4674744.2080798522</v>
      </c>
      <c r="K23" s="16">
        <f>J23-J24</f>
        <v>2135304.6580798524</v>
      </c>
      <c r="L23" s="17"/>
    </row>
    <row r="24" spans="1:12" x14ac:dyDescent="0.35">
      <c r="A24" s="2" t="s">
        <v>18</v>
      </c>
      <c r="B24" s="4">
        <v>10451673</v>
      </c>
      <c r="C24" s="4">
        <f>0.35*B24</f>
        <v>3658085.55</v>
      </c>
      <c r="D24" s="7">
        <v>261</v>
      </c>
      <c r="E24" s="5">
        <f>D24*4</f>
        <v>1044</v>
      </c>
      <c r="F24" s="7">
        <f>D24*2</f>
        <v>522</v>
      </c>
      <c r="G24" s="4">
        <f>F24*2023</f>
        <v>1056006</v>
      </c>
      <c r="H24" s="4">
        <f>0.012*D24*20000</f>
        <v>62640</v>
      </c>
      <c r="I24" s="4">
        <v>0</v>
      </c>
      <c r="J24" s="4">
        <f>C24-G24-H24-I24</f>
        <v>2539439.5499999998</v>
      </c>
      <c r="K24" s="16"/>
      <c r="L24" s="17"/>
    </row>
    <row r="25" spans="1:12" x14ac:dyDescent="0.35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17"/>
    </row>
    <row r="29" spans="1:12" x14ac:dyDescent="0.35">
      <c r="L29" s="9"/>
    </row>
  </sheetData>
  <mergeCells count="13">
    <mergeCell ref="L1:L25"/>
    <mergeCell ref="A5:K5"/>
    <mergeCell ref="B1:K1"/>
    <mergeCell ref="A13:K13"/>
    <mergeCell ref="A17:K17"/>
    <mergeCell ref="C21:K21"/>
    <mergeCell ref="B25:K25"/>
    <mergeCell ref="K3:K4"/>
    <mergeCell ref="K7:K8"/>
    <mergeCell ref="K11:K12"/>
    <mergeCell ref="K15:K16"/>
    <mergeCell ref="K19:K20"/>
    <mergeCell ref="K23:K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21E37-7DAE-4C44-B3A2-6DF25EDAC3DE}">
  <dimension ref="A2:H10"/>
  <sheetViews>
    <sheetView workbookViewId="0">
      <selection activeCell="H10" sqref="H10"/>
    </sheetView>
  </sheetViews>
  <sheetFormatPr defaultRowHeight="14.5" x14ac:dyDescent="0.35"/>
  <cols>
    <col min="2" max="7" width="17.7265625" bestFit="1" customWidth="1"/>
    <col min="8" max="8" width="19.1796875" bestFit="1" customWidth="1"/>
  </cols>
  <sheetData>
    <row r="2" spans="1:8" x14ac:dyDescent="0.35">
      <c r="B2" t="s">
        <v>5</v>
      </c>
      <c r="C2" t="s">
        <v>6</v>
      </c>
      <c r="D2" t="s">
        <v>7</v>
      </c>
      <c r="E2" t="s">
        <v>8</v>
      </c>
      <c r="F2" t="s">
        <v>9</v>
      </c>
      <c r="G2" t="s">
        <v>10</v>
      </c>
      <c r="H2" t="s">
        <v>36</v>
      </c>
    </row>
    <row r="3" spans="1:8" x14ac:dyDescent="0.35">
      <c r="B3" t="s">
        <v>12</v>
      </c>
      <c r="C3" t="s">
        <v>13</v>
      </c>
      <c r="D3" t="s">
        <v>14</v>
      </c>
      <c r="E3" t="s">
        <v>15</v>
      </c>
      <c r="F3" t="s">
        <v>16</v>
      </c>
      <c r="G3" t="s">
        <v>17</v>
      </c>
      <c r="H3" t="s">
        <v>39</v>
      </c>
    </row>
    <row r="4" spans="1:8" x14ac:dyDescent="0.35">
      <c r="A4">
        <v>0.15</v>
      </c>
      <c r="B4">
        <v>826488.93292161531</v>
      </c>
      <c r="C4">
        <v>1034554.7165307353</v>
      </c>
      <c r="D4">
        <v>1188416.0524079672</v>
      </c>
      <c r="E4">
        <v>1317851.449227853</v>
      </c>
      <c r="F4">
        <v>1454869.1652388426</v>
      </c>
      <c r="G4">
        <v>1570822.8872334533</v>
      </c>
      <c r="H4">
        <v>7373003.2035604659</v>
      </c>
    </row>
    <row r="5" spans="1:8" x14ac:dyDescent="0.35">
      <c r="A5">
        <v>0.45</v>
      </c>
      <c r="B5">
        <v>737984.61320665118</v>
      </c>
      <c r="C5">
        <v>853846.13404383848</v>
      </c>
      <c r="D5">
        <v>915881.57046876661</v>
      </c>
      <c r="E5">
        <v>955445.25139152724</v>
      </c>
      <c r="F5">
        <v>1002627.9653056354</v>
      </c>
      <c r="G5">
        <v>1031596.3000920251</v>
      </c>
      <c r="H5">
        <v>5477381.8345084442</v>
      </c>
    </row>
    <row r="6" spans="1:8" x14ac:dyDescent="0.35">
      <c r="A6">
        <v>0.35</v>
      </c>
      <c r="B6">
        <v>678981.73339667416</v>
      </c>
      <c r="C6">
        <v>736176.7328836096</v>
      </c>
      <c r="D6">
        <v>742618.18794530886</v>
      </c>
      <c r="E6">
        <v>730550.46988820226</v>
      </c>
      <c r="F6">
        <v>728693.71661268978</v>
      </c>
      <c r="G6">
        <v>712829.31516043015</v>
      </c>
      <c r="H6">
        <v>4309850.1558869146</v>
      </c>
    </row>
    <row r="7" spans="1:8" x14ac:dyDescent="0.35">
      <c r="A7">
        <v>0.05</v>
      </c>
      <c r="B7">
        <v>537374.82185273163</v>
      </c>
      <c r="C7">
        <v>510569.90199784475</v>
      </c>
      <c r="D7">
        <v>485102.04465353425</v>
      </c>
      <c r="E7">
        <v>460904.55549029377</v>
      </c>
      <c r="F7">
        <v>437914.06697415089</v>
      </c>
      <c r="G7">
        <v>416070.37242199609</v>
      </c>
      <c r="H7">
        <v>2827935.7633905513</v>
      </c>
    </row>
    <row r="8" spans="1:8" x14ac:dyDescent="0.35">
      <c r="A8" t="s">
        <v>40</v>
      </c>
      <c r="B8" s="15">
        <f>SUM(B4*$A$4,B5*$A$5,B6*$A$6,B7*$A$7)</f>
        <v>720578.76366270788</v>
      </c>
      <c r="C8" s="15">
        <f t="shared" ref="C8:H10" si="0">SUM(C4*$A$4,C5*$A$5,C6*$A$6,C7*$A$7)</f>
        <v>822604.31940849323</v>
      </c>
      <c r="D8" s="15">
        <f t="shared" si="0"/>
        <v>874580.58258567483</v>
      </c>
      <c r="E8" s="15">
        <f t="shared" si="0"/>
        <v>906365.97274575068</v>
      </c>
      <c r="F8" s="15">
        <f t="shared" si="0"/>
        <v>946351.46333651128</v>
      </c>
      <c r="G8" s="15">
        <f t="shared" si="0"/>
        <v>970135.54705367959</v>
      </c>
      <c r="H8" s="15">
        <f t="shared" si="0"/>
        <v>5220616.6487928173</v>
      </c>
    </row>
    <row r="9" spans="1:8" x14ac:dyDescent="0.35">
      <c r="A9" t="s">
        <v>41</v>
      </c>
      <c r="B9">
        <v>2023</v>
      </c>
      <c r="C9">
        <v>2024</v>
      </c>
      <c r="D9">
        <v>2025</v>
      </c>
      <c r="E9">
        <v>2026</v>
      </c>
      <c r="F9">
        <v>2027</v>
      </c>
      <c r="G9">
        <v>2028</v>
      </c>
    </row>
    <row r="10" spans="1:8" x14ac:dyDescent="0.35">
      <c r="A10" t="s">
        <v>42</v>
      </c>
      <c r="B10" s="15">
        <v>720578.76366270788</v>
      </c>
      <c r="C10" s="15">
        <v>822604.31940849323</v>
      </c>
      <c r="D10" s="15">
        <v>874580.58258567483</v>
      </c>
      <c r="E10" s="15">
        <v>906365.97274575068</v>
      </c>
      <c r="F10" s="15">
        <v>946351.46333651128</v>
      </c>
      <c r="G10" s="15">
        <v>970135.54705367959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C931A-3CA5-482A-94AD-3DC0689579BE}">
  <dimension ref="A2:J8"/>
  <sheetViews>
    <sheetView tabSelected="1" workbookViewId="0">
      <selection activeCell="D8" sqref="D8"/>
    </sheetView>
  </sheetViews>
  <sheetFormatPr defaultRowHeight="14.5" x14ac:dyDescent="0.35"/>
  <cols>
    <col min="1" max="1" width="8.81640625" bestFit="1" customWidth="1"/>
    <col min="2" max="2" width="9.26953125" bestFit="1" customWidth="1"/>
  </cols>
  <sheetData>
    <row r="2" spans="1:10" x14ac:dyDescent="0.35">
      <c r="A2" t="s">
        <v>47</v>
      </c>
      <c r="B2" t="s">
        <v>44</v>
      </c>
      <c r="C2" t="s">
        <v>45</v>
      </c>
      <c r="D2" t="s">
        <v>46</v>
      </c>
      <c r="G2" t="s">
        <v>50</v>
      </c>
      <c r="H2" t="s">
        <v>44</v>
      </c>
      <c r="I2" t="s">
        <v>45</v>
      </c>
      <c r="J2" t="s">
        <v>46</v>
      </c>
    </row>
    <row r="3" spans="1:10" x14ac:dyDescent="0.35">
      <c r="B3">
        <v>52.75</v>
      </c>
      <c r="C3">
        <v>49</v>
      </c>
      <c r="D3">
        <v>101</v>
      </c>
      <c r="H3">
        <v>535.5</v>
      </c>
      <c r="I3">
        <v>106.25</v>
      </c>
      <c r="J3">
        <v>94.5</v>
      </c>
    </row>
    <row r="5" spans="1:10" x14ac:dyDescent="0.35">
      <c r="A5" t="s">
        <v>48</v>
      </c>
      <c r="B5" s="21">
        <f>B3*C3*D3*3</f>
        <v>783179.25</v>
      </c>
      <c r="C5" t="s">
        <v>49</v>
      </c>
      <c r="G5" t="s">
        <v>51</v>
      </c>
      <c r="H5" s="21">
        <f>H3*I3*J3</f>
        <v>5376754.6875</v>
      </c>
    </row>
    <row r="8" spans="1:10" x14ac:dyDescent="0.35">
      <c r="A8" t="s">
        <v>43</v>
      </c>
      <c r="B8">
        <f>B5/H5</f>
        <v>0.14566021615617925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47120F0C182F45A501E4B56EC423AB" ma:contentTypeVersion="6" ma:contentTypeDescription="Create a new document." ma:contentTypeScope="" ma:versionID="e2adb5631407e66df1605ccf937c14f5">
  <xsd:schema xmlns:xsd="http://www.w3.org/2001/XMLSchema" xmlns:xs="http://www.w3.org/2001/XMLSchema" xmlns:p="http://schemas.microsoft.com/office/2006/metadata/properties" xmlns:ns3="968a8253-72d1-4d52-88c0-584cbe5cdb9d" xmlns:ns4="4614f21d-7f11-4816-88c0-e753447341ec" targetNamespace="http://schemas.microsoft.com/office/2006/metadata/properties" ma:root="true" ma:fieldsID="1b0613bb057b6360e933fb2d35344990" ns3:_="" ns4:_="">
    <xsd:import namespace="968a8253-72d1-4d52-88c0-584cbe5cdb9d"/>
    <xsd:import namespace="4614f21d-7f11-4816-88c0-e753447341e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8a8253-72d1-4d52-88c0-584cbe5cdb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14f21d-7f11-4816-88c0-e753447341e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68a8253-72d1-4d52-88c0-584cbe5cdb9d" xsi:nil="true"/>
  </documentManagement>
</p:properties>
</file>

<file path=customXml/itemProps1.xml><?xml version="1.0" encoding="utf-8"?>
<ds:datastoreItem xmlns:ds="http://schemas.openxmlformats.org/officeDocument/2006/customXml" ds:itemID="{CBFB8F99-3A45-4416-8CF8-0AC41F81F5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8a8253-72d1-4d52-88c0-584cbe5cdb9d"/>
    <ds:schemaRef ds:uri="4614f21d-7f11-4816-88c0-e75344734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1B68C7-F9D2-453A-8CBB-490677AE31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155E98-CCBF-4033-9253-2C49B126638C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4614f21d-7f11-4816-88c0-e753447341ec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968a8253-72d1-4d52-88c0-584cbe5cdb9d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e202cd47-7a56-4baa-99e3-e3b71a7c77dd}" enabled="0" method="" siteId="{e202cd47-7a56-4baa-99e3-e3b71a7c77d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SCENARIO 1</vt:lpstr>
      <vt:lpstr>SCENARIO 2</vt:lpstr>
      <vt:lpstr>SCENARIO 3</vt:lpstr>
      <vt:lpstr>SCENARIO 4</vt:lpstr>
      <vt:lpstr>Sheet1</vt:lpstr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antonelli</dc:creator>
  <cp:lastModifiedBy>marco antonelli</cp:lastModifiedBy>
  <dcterms:created xsi:type="dcterms:W3CDTF">2023-05-29T03:12:07Z</dcterms:created>
  <dcterms:modified xsi:type="dcterms:W3CDTF">2023-06-02T15:31:47Z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0x010100D847120F0C182F45A501E4B56EC423AB</vt:lpwstr>
  </property>
</Properties>
</file>